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chool Growth &amp; Development\Active Projects or Drafts\Nevada\Mater Academy of Nevada (MAN)\Charter Amendments\Fifth Campus - April 2025\Drafts\"/>
    </mc:Choice>
  </mc:AlternateContent>
  <xr:revisionPtr revIDLastSave="0" documentId="13_ncr:1_{ECD1C599-F780-4A7C-B750-D693D4139D3F}" xr6:coauthVersionLast="47" xr6:coauthVersionMax="47" xr10:uidLastSave="{00000000-0000-0000-0000-000000000000}"/>
  <bookViews>
    <workbookView xWindow="-28920" yWindow="-120" windowWidth="29040" windowHeight="15720" activeTab="8" xr2:uid="{14397603-2800-4438-A69A-39B11A16831D}"/>
  </bookViews>
  <sheets>
    <sheet name="Forecast" sheetId="2" r:id="rId1"/>
    <sheet name="FY26" sheetId="1" r:id="rId2"/>
    <sheet name="FY27" sheetId="3" r:id="rId3"/>
    <sheet name="FY28" sheetId="4" r:id="rId4"/>
    <sheet name="FY29" sheetId="9" r:id="rId5"/>
    <sheet name="FY30" sheetId="10" r:id="rId6"/>
    <sheet name="FY31" sheetId="15" r:id="rId7"/>
    <sheet name="Sheet3" sheetId="17" r:id="rId8"/>
    <sheet name="Compare" sheetId="11" r:id="rId9"/>
    <sheet name="Sheet8" sheetId="8" r:id="rId10"/>
    <sheet name="Sheet1" sheetId="12" r:id="rId11"/>
    <sheet name="Sheet4" sheetId="16" r:id="rId12"/>
    <sheet name="East Rent" sheetId="5" r:id="rId13"/>
    <sheet name="East FFE" sheetId="6" state="hidden" r:id="rId14"/>
    <sheet name="Cactus FFE" sheetId="7" state="hidden" r:id="rId15"/>
    <sheet name="Sheet2" sheetId="13" r:id="rId16"/>
    <sheet name="FFE VV" sheetId="14" r:id="rId17"/>
    <sheet name="Sheet5" sheetId="18" r:id="rId18"/>
  </sheets>
  <definedNames>
    <definedName name="_xlnm.Print_Titles" localSheetId="8">Compare!$A:$A</definedName>
    <definedName name="_xlnm.Print_Titles" localSheetId="1">'FY26'!$A:$A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1" l="1"/>
  <c r="AG3" i="11"/>
  <c r="AH3" i="11"/>
  <c r="AF4" i="11"/>
  <c r="AG4" i="11"/>
  <c r="AH4" i="11"/>
  <c r="AF5" i="11"/>
  <c r="AG5" i="11"/>
  <c r="AH5" i="11"/>
  <c r="AF6" i="11"/>
  <c r="AG6" i="11"/>
  <c r="AH6" i="11"/>
  <c r="AF7" i="11"/>
  <c r="AG7" i="11"/>
  <c r="AH7" i="11"/>
  <c r="AF8" i="11"/>
  <c r="AG8" i="11"/>
  <c r="AH8" i="11"/>
  <c r="AF9" i="11"/>
  <c r="AG9" i="11"/>
  <c r="AH9" i="11"/>
  <c r="AF10" i="11"/>
  <c r="AG10" i="11"/>
  <c r="AH10" i="11"/>
  <c r="AF11" i="11"/>
  <c r="AG11" i="11"/>
  <c r="AH11" i="11"/>
  <c r="AF12" i="11"/>
  <c r="AG12" i="11"/>
  <c r="AH12" i="11"/>
  <c r="AF13" i="11"/>
  <c r="AG13" i="11"/>
  <c r="AH13" i="11"/>
  <c r="AF14" i="11"/>
  <c r="AG14" i="11"/>
  <c r="AH14" i="11"/>
  <c r="AF15" i="11"/>
  <c r="AG15" i="11"/>
  <c r="AH15" i="11"/>
  <c r="AF16" i="11"/>
  <c r="AG16" i="11"/>
  <c r="AH16" i="11"/>
  <c r="AF17" i="11"/>
  <c r="AG17" i="11"/>
  <c r="AH17" i="11"/>
  <c r="AH2" i="11"/>
  <c r="AG2" i="11"/>
  <c r="AF2" i="11"/>
  <c r="AD3" i="11"/>
  <c r="AE3" i="11"/>
  <c r="AD4" i="11"/>
  <c r="AE4" i="11"/>
  <c r="AD5" i="11"/>
  <c r="AE5" i="11"/>
  <c r="AD6" i="11"/>
  <c r="AE6" i="11"/>
  <c r="AD7" i="11"/>
  <c r="AE7" i="11"/>
  <c r="AD8" i="11"/>
  <c r="AE8" i="11"/>
  <c r="AD9" i="11"/>
  <c r="AE9" i="11"/>
  <c r="AD10" i="11"/>
  <c r="AE10" i="11"/>
  <c r="AD11" i="11"/>
  <c r="AE11" i="11"/>
  <c r="AD12" i="11"/>
  <c r="AE12" i="11"/>
  <c r="AD13" i="11"/>
  <c r="AE13" i="11"/>
  <c r="AD14" i="11"/>
  <c r="AE14" i="11"/>
  <c r="AD15" i="11"/>
  <c r="AE15" i="11"/>
  <c r="AD16" i="11"/>
  <c r="AE16" i="11"/>
  <c r="AD17" i="11"/>
  <c r="AE17" i="11"/>
  <c r="AE2" i="11"/>
  <c r="AD2" i="11"/>
  <c r="AD20" i="11"/>
  <c r="AE20" i="11"/>
  <c r="AF20" i="11"/>
  <c r="AG20" i="11"/>
  <c r="AH20" i="11"/>
  <c r="AD21" i="11"/>
  <c r="AE21" i="11"/>
  <c r="AF21" i="11"/>
  <c r="AG21" i="11"/>
  <c r="AH21" i="11"/>
  <c r="AD22" i="11"/>
  <c r="AE22" i="11"/>
  <c r="AF22" i="11"/>
  <c r="AG22" i="11"/>
  <c r="AH22" i="11"/>
  <c r="AD23" i="11"/>
  <c r="AE23" i="11"/>
  <c r="AF23" i="11"/>
  <c r="AG23" i="11"/>
  <c r="AH23" i="11"/>
  <c r="AD24" i="11"/>
  <c r="AE24" i="11"/>
  <c r="AF24" i="11"/>
  <c r="AG24" i="11"/>
  <c r="AH24" i="11"/>
  <c r="AD25" i="11"/>
  <c r="AE25" i="11"/>
  <c r="AF25" i="11"/>
  <c r="AG25" i="11"/>
  <c r="AH25" i="11"/>
  <c r="AD26" i="11"/>
  <c r="AE26" i="11"/>
  <c r="AF26" i="11"/>
  <c r="AG26" i="11"/>
  <c r="AH26" i="11"/>
  <c r="AD27" i="11"/>
  <c r="AE27" i="11"/>
  <c r="AF27" i="11"/>
  <c r="AG27" i="11"/>
  <c r="AH27" i="11"/>
  <c r="AD28" i="11"/>
  <c r="AE28" i="11"/>
  <c r="AF28" i="11"/>
  <c r="AG28" i="11"/>
  <c r="AH28" i="11"/>
  <c r="AD29" i="11"/>
  <c r="AE29" i="11"/>
  <c r="AF29" i="11"/>
  <c r="AG29" i="11"/>
  <c r="AH29" i="11"/>
  <c r="AD30" i="11"/>
  <c r="AE30" i="11"/>
  <c r="AF30" i="11"/>
  <c r="AG30" i="11"/>
  <c r="AH30" i="11"/>
  <c r="AD31" i="11"/>
  <c r="AE31" i="11"/>
  <c r="AF31" i="11"/>
  <c r="AG31" i="11"/>
  <c r="AH31" i="11"/>
  <c r="AD32" i="11"/>
  <c r="AE32" i="11"/>
  <c r="AF32" i="11"/>
  <c r="AG32" i="11"/>
  <c r="AH32" i="11"/>
  <c r="AD33" i="11"/>
  <c r="AE33" i="11"/>
  <c r="AF33" i="11"/>
  <c r="AG33" i="11"/>
  <c r="AH33" i="11"/>
  <c r="AD34" i="11"/>
  <c r="AE34" i="11"/>
  <c r="AF34" i="11"/>
  <c r="AG34" i="11"/>
  <c r="AH34" i="11"/>
  <c r="AD35" i="11"/>
  <c r="AE35" i="11"/>
  <c r="AF35" i="11"/>
  <c r="AG35" i="11"/>
  <c r="AH35" i="11"/>
  <c r="AD36" i="11"/>
  <c r="AE36" i="11"/>
  <c r="AF36" i="11"/>
  <c r="AG36" i="11"/>
  <c r="AH36" i="11"/>
  <c r="AD37" i="11"/>
  <c r="AE37" i="11"/>
  <c r="AF37" i="11"/>
  <c r="AG37" i="11"/>
  <c r="AH37" i="11"/>
  <c r="AD38" i="11"/>
  <c r="AE38" i="11"/>
  <c r="AF38" i="11"/>
  <c r="AG38" i="11"/>
  <c r="AH38" i="11"/>
  <c r="AD39" i="11"/>
  <c r="AE39" i="11"/>
  <c r="AF39" i="11"/>
  <c r="AG39" i="11"/>
  <c r="AH39" i="11"/>
  <c r="AD40" i="11"/>
  <c r="AE40" i="11"/>
  <c r="AF40" i="11"/>
  <c r="AG40" i="11"/>
  <c r="AH40" i="11"/>
  <c r="AD41" i="11"/>
  <c r="AE41" i="11"/>
  <c r="AF41" i="11"/>
  <c r="AG41" i="11"/>
  <c r="AH41" i="11"/>
  <c r="AD42" i="11"/>
  <c r="AE42" i="11"/>
  <c r="AF42" i="11"/>
  <c r="AG42" i="11"/>
  <c r="AH42" i="11"/>
  <c r="AD43" i="11"/>
  <c r="AE43" i="11"/>
  <c r="AF43" i="11"/>
  <c r="AG43" i="11"/>
  <c r="AH43" i="11"/>
  <c r="AD44" i="11"/>
  <c r="AE44" i="11"/>
  <c r="AF44" i="11"/>
  <c r="AG44" i="11"/>
  <c r="AH44" i="11"/>
  <c r="AD45" i="11"/>
  <c r="AE45" i="11"/>
  <c r="AF45" i="11"/>
  <c r="AG45" i="11"/>
  <c r="AH45" i="11"/>
  <c r="AD46" i="11"/>
  <c r="AE46" i="11"/>
  <c r="AF46" i="11"/>
  <c r="AG46" i="11"/>
  <c r="AH46" i="11"/>
  <c r="AD47" i="11"/>
  <c r="AE47" i="11"/>
  <c r="AF47" i="11"/>
  <c r="AG47" i="11"/>
  <c r="AH47" i="11"/>
  <c r="AD48" i="11"/>
  <c r="AE48" i="11"/>
  <c r="AF48" i="11"/>
  <c r="AG48" i="11"/>
  <c r="AH48" i="11"/>
  <c r="AD49" i="11"/>
  <c r="AE49" i="11"/>
  <c r="AF49" i="11"/>
  <c r="AG49" i="11"/>
  <c r="AH49" i="11"/>
  <c r="AD50" i="11"/>
  <c r="AE50" i="11"/>
  <c r="AF50" i="11"/>
  <c r="AG50" i="11"/>
  <c r="AH50" i="11"/>
  <c r="AD51" i="11"/>
  <c r="AE51" i="11"/>
  <c r="AF51" i="11"/>
  <c r="AG51" i="11"/>
  <c r="AH51" i="11"/>
  <c r="AD52" i="11"/>
  <c r="AE52" i="11"/>
  <c r="AF52" i="11"/>
  <c r="AG52" i="11"/>
  <c r="AH52" i="11"/>
  <c r="AD53" i="11"/>
  <c r="AE53" i="11"/>
  <c r="AF53" i="11"/>
  <c r="AG53" i="11"/>
  <c r="AH53" i="11"/>
  <c r="AD54" i="11"/>
  <c r="AE54" i="11"/>
  <c r="AF54" i="11"/>
  <c r="AG54" i="11"/>
  <c r="AH54" i="11"/>
  <c r="AD55" i="11"/>
  <c r="AE55" i="11"/>
  <c r="AF55" i="11"/>
  <c r="AG55" i="11"/>
  <c r="AH55" i="11"/>
  <c r="AD56" i="11"/>
  <c r="AE56" i="11"/>
  <c r="AF56" i="11"/>
  <c r="AG56" i="11"/>
  <c r="AH56" i="11"/>
  <c r="AD57" i="11"/>
  <c r="AE57" i="11"/>
  <c r="AF57" i="11"/>
  <c r="AG57" i="11"/>
  <c r="AH57" i="11"/>
  <c r="AD58" i="11"/>
  <c r="AE58" i="11"/>
  <c r="AF58" i="11"/>
  <c r="AG58" i="11"/>
  <c r="AH58" i="11"/>
  <c r="AD59" i="11"/>
  <c r="AE59" i="11"/>
  <c r="AF59" i="11"/>
  <c r="AG59" i="11"/>
  <c r="AH59" i="11"/>
  <c r="AD60" i="11"/>
  <c r="AE60" i="11"/>
  <c r="AF60" i="11"/>
  <c r="AG60" i="11"/>
  <c r="AH60" i="11"/>
  <c r="AD61" i="11"/>
  <c r="AE61" i="11"/>
  <c r="AF61" i="11"/>
  <c r="AG61" i="11"/>
  <c r="AH61" i="11"/>
  <c r="AD62" i="11"/>
  <c r="AE62" i="11"/>
  <c r="AF62" i="11"/>
  <c r="AG62" i="11"/>
  <c r="AH62" i="11"/>
  <c r="AD63" i="11"/>
  <c r="AE63" i="11"/>
  <c r="AF63" i="11"/>
  <c r="AG63" i="11"/>
  <c r="AH63" i="11"/>
  <c r="AD64" i="11"/>
  <c r="AE64" i="11"/>
  <c r="AF64" i="11"/>
  <c r="AG64" i="11"/>
  <c r="AH64" i="11"/>
  <c r="AD65" i="11"/>
  <c r="AE65" i="11"/>
  <c r="AF65" i="11"/>
  <c r="AG65" i="11"/>
  <c r="AH65" i="11"/>
  <c r="AD66" i="11"/>
  <c r="AE66" i="11"/>
  <c r="AF66" i="11"/>
  <c r="AG66" i="11"/>
  <c r="AH66" i="11"/>
  <c r="AD67" i="11"/>
  <c r="AE67" i="11"/>
  <c r="AF67" i="11"/>
  <c r="AG67" i="11"/>
  <c r="AH67" i="11"/>
  <c r="AD68" i="11"/>
  <c r="AE68" i="11"/>
  <c r="AF68" i="11"/>
  <c r="AG68" i="11"/>
  <c r="AH68" i="11"/>
  <c r="AD69" i="11"/>
  <c r="AE69" i="11"/>
  <c r="AF69" i="11"/>
  <c r="AG69" i="11"/>
  <c r="AH69" i="11"/>
  <c r="AD70" i="11"/>
  <c r="AE70" i="11"/>
  <c r="AF70" i="11"/>
  <c r="AG70" i="11"/>
  <c r="AH70" i="11"/>
  <c r="AD71" i="11"/>
  <c r="AE71" i="11"/>
  <c r="AF71" i="11"/>
  <c r="AG71" i="11"/>
  <c r="AH71" i="11"/>
  <c r="AD72" i="11"/>
  <c r="AE72" i="11"/>
  <c r="AF72" i="11"/>
  <c r="AG72" i="11"/>
  <c r="AH72" i="11"/>
  <c r="AD73" i="11"/>
  <c r="AE73" i="11"/>
  <c r="AF73" i="11"/>
  <c r="AG73" i="11"/>
  <c r="AH73" i="11"/>
  <c r="AD74" i="11"/>
  <c r="AE74" i="11"/>
  <c r="AF74" i="11"/>
  <c r="AG74" i="11"/>
  <c r="AH74" i="11"/>
  <c r="AD75" i="11"/>
  <c r="AE75" i="11"/>
  <c r="AF75" i="11"/>
  <c r="AG75" i="11"/>
  <c r="AH75" i="11"/>
  <c r="AD76" i="11"/>
  <c r="AE76" i="11"/>
  <c r="AF76" i="11"/>
  <c r="AG76" i="11"/>
  <c r="AH76" i="11"/>
  <c r="AD77" i="11"/>
  <c r="AE77" i="11"/>
  <c r="AF77" i="11"/>
  <c r="AG77" i="11"/>
  <c r="AH77" i="11"/>
  <c r="AD78" i="11"/>
  <c r="AE78" i="11"/>
  <c r="AF78" i="11"/>
  <c r="AG78" i="11"/>
  <c r="AH78" i="11"/>
  <c r="AD79" i="11"/>
  <c r="AE79" i="11"/>
  <c r="AF79" i="11"/>
  <c r="AG79" i="11"/>
  <c r="AH79" i="11"/>
  <c r="AD80" i="11"/>
  <c r="AE80" i="11"/>
  <c r="AF80" i="11"/>
  <c r="AG80" i="11"/>
  <c r="AH80" i="11"/>
  <c r="AD81" i="11"/>
  <c r="AE81" i="11"/>
  <c r="AF81" i="11"/>
  <c r="AG81" i="11"/>
  <c r="AH81" i="11"/>
  <c r="AD82" i="11"/>
  <c r="AE82" i="11"/>
  <c r="AF82" i="11"/>
  <c r="AG82" i="11"/>
  <c r="AH82" i="11"/>
  <c r="AD83" i="11"/>
  <c r="AE83" i="11"/>
  <c r="AF83" i="11"/>
  <c r="AG83" i="11"/>
  <c r="AH83" i="11"/>
  <c r="AD84" i="11"/>
  <c r="AE84" i="11"/>
  <c r="AF84" i="11"/>
  <c r="AG84" i="11"/>
  <c r="AH84" i="11"/>
  <c r="AD85" i="11"/>
  <c r="AE85" i="11"/>
  <c r="AF85" i="11"/>
  <c r="AG85" i="11"/>
  <c r="AH85" i="11"/>
  <c r="AD86" i="11"/>
  <c r="AE86" i="11"/>
  <c r="AF86" i="11"/>
  <c r="AG86" i="11"/>
  <c r="AH86" i="11"/>
  <c r="AD87" i="11"/>
  <c r="AE87" i="11"/>
  <c r="AF87" i="11"/>
  <c r="AG87" i="11"/>
  <c r="AH87" i="11"/>
  <c r="AD88" i="11"/>
  <c r="AE88" i="11"/>
  <c r="AF88" i="11"/>
  <c r="AG88" i="11"/>
  <c r="AH88" i="11"/>
  <c r="AD89" i="11"/>
  <c r="AE89" i="11"/>
  <c r="AF89" i="11"/>
  <c r="AG89" i="11"/>
  <c r="AH89" i="11"/>
  <c r="AD90" i="11"/>
  <c r="AE90" i="11"/>
  <c r="AF90" i="11"/>
  <c r="AG90" i="11"/>
  <c r="AH90" i="11"/>
  <c r="AD91" i="11"/>
  <c r="AE91" i="11"/>
  <c r="AF91" i="11"/>
  <c r="AG91" i="11"/>
  <c r="AH91" i="11"/>
  <c r="AD92" i="11"/>
  <c r="AE92" i="11"/>
  <c r="AF92" i="11"/>
  <c r="AG92" i="11"/>
  <c r="AH92" i="11"/>
  <c r="AD93" i="11"/>
  <c r="AE93" i="11"/>
  <c r="AF93" i="11"/>
  <c r="AG93" i="11"/>
  <c r="AH93" i="11"/>
  <c r="AD94" i="11"/>
  <c r="AE94" i="11"/>
  <c r="AF94" i="11"/>
  <c r="AG94" i="11"/>
  <c r="AH94" i="11"/>
  <c r="AD95" i="11"/>
  <c r="AE95" i="11"/>
  <c r="AF95" i="11"/>
  <c r="AG95" i="11"/>
  <c r="AH95" i="11"/>
  <c r="AD96" i="11"/>
  <c r="AE96" i="11"/>
  <c r="AF96" i="11"/>
  <c r="AG96" i="11"/>
  <c r="AH96" i="11"/>
  <c r="AD97" i="11"/>
  <c r="AE97" i="11"/>
  <c r="AF97" i="11"/>
  <c r="AG97" i="11"/>
  <c r="AH97" i="11"/>
  <c r="AD98" i="11"/>
  <c r="AE98" i="11"/>
  <c r="AF98" i="11"/>
  <c r="AG98" i="11"/>
  <c r="AH98" i="11"/>
  <c r="AD99" i="11"/>
  <c r="AE99" i="11"/>
  <c r="AF99" i="11"/>
  <c r="AG99" i="11"/>
  <c r="AH99" i="11"/>
  <c r="AD100" i="11"/>
  <c r="AE100" i="11"/>
  <c r="AF100" i="11"/>
  <c r="AG100" i="11"/>
  <c r="AH100" i="11"/>
  <c r="AD101" i="11"/>
  <c r="AE101" i="11"/>
  <c r="AF101" i="11"/>
  <c r="AG101" i="11"/>
  <c r="AH101" i="11"/>
  <c r="AD102" i="11"/>
  <c r="AE102" i="11"/>
  <c r="AF102" i="11"/>
  <c r="AG102" i="11"/>
  <c r="AH102" i="11"/>
  <c r="AD103" i="11"/>
  <c r="AE103" i="11"/>
  <c r="AF103" i="11"/>
  <c r="AG103" i="11"/>
  <c r="AH103" i="11"/>
  <c r="AD104" i="11"/>
  <c r="AE104" i="11"/>
  <c r="AF104" i="11"/>
  <c r="AG104" i="11"/>
  <c r="AH104" i="11"/>
  <c r="AD105" i="11"/>
  <c r="AE105" i="11"/>
  <c r="AF105" i="11"/>
  <c r="AG105" i="11"/>
  <c r="AH105" i="11"/>
  <c r="AD106" i="11"/>
  <c r="AE106" i="11"/>
  <c r="AF106" i="11"/>
  <c r="AG106" i="11"/>
  <c r="AH106" i="11"/>
  <c r="AD107" i="11"/>
  <c r="AE107" i="11"/>
  <c r="AF107" i="11"/>
  <c r="AG107" i="11"/>
  <c r="AH107" i="11"/>
  <c r="AD108" i="11"/>
  <c r="AE108" i="11"/>
  <c r="AF108" i="11"/>
  <c r="AG108" i="11"/>
  <c r="AH108" i="11"/>
  <c r="AD109" i="11"/>
  <c r="AE109" i="11"/>
  <c r="AF109" i="11"/>
  <c r="AG109" i="11"/>
  <c r="AH109" i="11"/>
  <c r="AD110" i="11"/>
  <c r="AE110" i="11"/>
  <c r="AF110" i="11"/>
  <c r="AG110" i="11"/>
  <c r="AH110" i="11"/>
  <c r="AD111" i="11"/>
  <c r="AE111" i="11"/>
  <c r="AF111" i="11"/>
  <c r="AG111" i="11"/>
  <c r="AH111" i="11"/>
  <c r="AD112" i="11"/>
  <c r="AE112" i="11"/>
  <c r="AF112" i="11"/>
  <c r="AG112" i="11"/>
  <c r="AH112" i="11"/>
  <c r="AD113" i="11"/>
  <c r="AE113" i="11"/>
  <c r="AF113" i="11"/>
  <c r="AG113" i="11"/>
  <c r="AH113" i="11"/>
  <c r="AD114" i="11"/>
  <c r="AE114" i="11"/>
  <c r="AF114" i="11"/>
  <c r="AG114" i="11"/>
  <c r="AH114" i="11"/>
  <c r="AD115" i="11"/>
  <c r="AE115" i="11"/>
  <c r="AF115" i="11"/>
  <c r="AG115" i="11"/>
  <c r="AH115" i="11"/>
  <c r="AD116" i="11"/>
  <c r="AE116" i="11"/>
  <c r="AF116" i="11"/>
  <c r="AG116" i="11"/>
  <c r="AH116" i="11"/>
  <c r="AD117" i="11"/>
  <c r="AE117" i="11"/>
  <c r="AF117" i="11"/>
  <c r="AG117" i="11"/>
  <c r="AH117" i="11"/>
  <c r="AD118" i="11"/>
  <c r="AE118" i="11"/>
  <c r="AF118" i="11"/>
  <c r="AG118" i="11"/>
  <c r="AH118" i="11"/>
  <c r="AD119" i="11"/>
  <c r="AE119" i="11"/>
  <c r="AF119" i="11"/>
  <c r="AG119" i="11"/>
  <c r="AH119" i="11"/>
  <c r="AD120" i="11"/>
  <c r="AE120" i="11"/>
  <c r="AF120" i="11"/>
  <c r="AG120" i="11"/>
  <c r="AH120" i="11"/>
  <c r="AD121" i="11"/>
  <c r="AE121" i="11"/>
  <c r="AF121" i="11"/>
  <c r="AG121" i="11"/>
  <c r="AH121" i="11"/>
  <c r="AD122" i="11"/>
  <c r="AE122" i="11"/>
  <c r="AF122" i="11"/>
  <c r="AG122" i="11"/>
  <c r="AH122" i="11"/>
  <c r="AD123" i="11"/>
  <c r="AE123" i="11"/>
  <c r="AF123" i="11"/>
  <c r="AG123" i="11"/>
  <c r="AH123" i="11"/>
  <c r="AD124" i="11"/>
  <c r="AE124" i="11"/>
  <c r="AF124" i="11"/>
  <c r="AG124" i="11"/>
  <c r="AH124" i="11"/>
  <c r="AD125" i="11"/>
  <c r="AE125" i="11"/>
  <c r="AF125" i="11"/>
  <c r="AG125" i="11"/>
  <c r="AH125" i="11"/>
  <c r="AD126" i="11"/>
  <c r="AE126" i="11"/>
  <c r="AF126" i="11"/>
  <c r="AG126" i="11"/>
  <c r="AH126" i="11"/>
  <c r="AD127" i="11"/>
  <c r="AE127" i="11"/>
  <c r="AF127" i="11"/>
  <c r="AG127" i="11"/>
  <c r="AH127" i="11"/>
  <c r="AD128" i="11"/>
  <c r="AE128" i="11"/>
  <c r="AF128" i="11"/>
  <c r="AG128" i="11"/>
  <c r="AH128" i="11"/>
  <c r="AD129" i="11"/>
  <c r="AE129" i="11"/>
  <c r="AF129" i="11"/>
  <c r="AG129" i="11"/>
  <c r="AH129" i="11"/>
  <c r="AD130" i="11"/>
  <c r="AE130" i="11"/>
  <c r="AF130" i="11"/>
  <c r="AG130" i="11"/>
  <c r="AH130" i="11"/>
  <c r="AD131" i="11"/>
  <c r="AE131" i="11"/>
  <c r="AF131" i="11"/>
  <c r="AG131" i="11"/>
  <c r="AH131" i="11"/>
  <c r="AD132" i="11"/>
  <c r="AE132" i="11"/>
  <c r="AF132" i="11"/>
  <c r="AG132" i="11"/>
  <c r="AH132" i="11"/>
  <c r="AD133" i="11"/>
  <c r="AE133" i="11"/>
  <c r="AF133" i="11"/>
  <c r="AG133" i="11"/>
  <c r="AH133" i="11"/>
  <c r="AD134" i="11"/>
  <c r="AE134" i="11"/>
  <c r="AF134" i="11"/>
  <c r="AG134" i="11"/>
  <c r="AH134" i="11"/>
  <c r="AD135" i="11"/>
  <c r="AE135" i="11"/>
  <c r="AF135" i="11"/>
  <c r="AG135" i="11"/>
  <c r="AH135" i="11"/>
  <c r="AD136" i="11"/>
  <c r="AE136" i="11"/>
  <c r="AF136" i="11"/>
  <c r="AG136" i="11"/>
  <c r="AH136" i="11"/>
  <c r="AD137" i="11"/>
  <c r="AE137" i="11"/>
  <c r="AF137" i="11"/>
  <c r="AG137" i="11"/>
  <c r="AH137" i="11"/>
  <c r="AD138" i="11"/>
  <c r="AE138" i="11"/>
  <c r="AF138" i="11"/>
  <c r="AG138" i="11"/>
  <c r="AH138" i="11"/>
  <c r="AD139" i="11"/>
  <c r="AE139" i="11"/>
  <c r="AF139" i="11"/>
  <c r="AG139" i="11"/>
  <c r="AH139" i="11"/>
  <c r="AD140" i="11"/>
  <c r="AE140" i="11"/>
  <c r="AF140" i="11"/>
  <c r="AG140" i="11"/>
  <c r="AH140" i="11"/>
  <c r="AD141" i="11"/>
  <c r="AE141" i="11"/>
  <c r="AF141" i="11"/>
  <c r="AG141" i="11"/>
  <c r="AH141" i="11"/>
  <c r="AD142" i="11"/>
  <c r="AE142" i="11"/>
  <c r="AF142" i="11"/>
  <c r="AG142" i="11"/>
  <c r="AH142" i="11"/>
  <c r="AD143" i="11"/>
  <c r="AE143" i="11"/>
  <c r="AF143" i="11"/>
  <c r="AG143" i="11"/>
  <c r="AH143" i="11"/>
  <c r="AD144" i="11"/>
  <c r="AE144" i="11"/>
  <c r="AF144" i="11"/>
  <c r="AG144" i="11"/>
  <c r="AH144" i="11"/>
  <c r="AD145" i="11"/>
  <c r="AE145" i="11"/>
  <c r="AF145" i="11"/>
  <c r="AG145" i="11"/>
  <c r="AH145" i="11"/>
  <c r="AD146" i="11"/>
  <c r="AE146" i="11"/>
  <c r="AF146" i="11"/>
  <c r="AG146" i="11"/>
  <c r="AH146" i="11"/>
  <c r="AD147" i="11"/>
  <c r="AE147" i="11"/>
  <c r="AF147" i="11"/>
  <c r="AG147" i="11"/>
  <c r="AH147" i="11"/>
  <c r="AD148" i="11"/>
  <c r="AE148" i="11"/>
  <c r="AF148" i="11"/>
  <c r="AG148" i="11"/>
  <c r="AH148" i="11"/>
  <c r="AD149" i="11"/>
  <c r="AE149" i="11"/>
  <c r="AF149" i="11"/>
  <c r="AG149" i="11"/>
  <c r="AH149" i="11"/>
  <c r="AD150" i="11"/>
  <c r="AE150" i="11"/>
  <c r="AF150" i="11"/>
  <c r="AG150" i="11"/>
  <c r="AH150" i="11"/>
  <c r="AD151" i="11"/>
  <c r="AE151" i="11"/>
  <c r="AF151" i="11"/>
  <c r="AG151" i="11"/>
  <c r="AH151" i="11"/>
  <c r="AD152" i="11"/>
  <c r="AE152" i="11"/>
  <c r="AF152" i="11"/>
  <c r="AG152" i="11"/>
  <c r="AH152" i="11"/>
  <c r="AD153" i="11"/>
  <c r="AE153" i="11"/>
  <c r="AF153" i="11"/>
  <c r="AG153" i="11"/>
  <c r="AH153" i="11"/>
  <c r="AD154" i="11"/>
  <c r="AE154" i="11"/>
  <c r="AF154" i="11"/>
  <c r="AG154" i="11"/>
  <c r="AH154" i="11"/>
  <c r="AD155" i="11"/>
  <c r="AE155" i="11"/>
  <c r="AF155" i="11"/>
  <c r="AG155" i="11"/>
  <c r="AH155" i="11"/>
  <c r="AD156" i="11"/>
  <c r="AE156" i="11"/>
  <c r="AF156" i="11"/>
  <c r="AG156" i="11"/>
  <c r="AH156" i="11"/>
  <c r="AD157" i="11"/>
  <c r="AE157" i="11"/>
  <c r="AF157" i="11"/>
  <c r="AG157" i="11"/>
  <c r="AH157" i="11"/>
  <c r="AD158" i="11"/>
  <c r="AE158" i="11"/>
  <c r="AF158" i="11"/>
  <c r="AG158" i="11"/>
  <c r="AH158" i="11"/>
  <c r="AD159" i="11"/>
  <c r="AE159" i="11"/>
  <c r="AF159" i="11"/>
  <c r="AG159" i="11"/>
  <c r="AH159" i="11"/>
  <c r="AD160" i="11"/>
  <c r="AE160" i="11"/>
  <c r="AF160" i="11"/>
  <c r="AG160" i="11"/>
  <c r="AH160" i="11"/>
  <c r="AD161" i="11"/>
  <c r="AE161" i="11"/>
  <c r="AF161" i="11"/>
  <c r="AG161" i="11"/>
  <c r="AH161" i="11"/>
  <c r="AD162" i="11"/>
  <c r="AE162" i="11"/>
  <c r="AF162" i="11"/>
  <c r="AG162" i="11"/>
  <c r="AH162" i="11"/>
  <c r="AD163" i="11"/>
  <c r="AE163" i="11"/>
  <c r="AF163" i="11"/>
  <c r="AG163" i="11"/>
  <c r="AH163" i="11"/>
  <c r="AD164" i="11"/>
  <c r="AE164" i="11"/>
  <c r="AF164" i="11"/>
  <c r="AG164" i="11"/>
  <c r="AH164" i="11"/>
  <c r="AD165" i="11"/>
  <c r="AE165" i="11"/>
  <c r="AF165" i="11"/>
  <c r="AG165" i="11"/>
  <c r="AH165" i="11"/>
  <c r="AD166" i="11"/>
  <c r="AE166" i="11"/>
  <c r="AF166" i="11"/>
  <c r="AG166" i="11"/>
  <c r="AH166" i="11"/>
  <c r="AD167" i="11"/>
  <c r="AE167" i="11"/>
  <c r="AF167" i="11"/>
  <c r="AG167" i="11"/>
  <c r="AH167" i="11"/>
  <c r="AD168" i="11"/>
  <c r="AE168" i="11"/>
  <c r="AF168" i="11"/>
  <c r="AG168" i="11"/>
  <c r="AH168" i="11"/>
  <c r="AD169" i="11"/>
  <c r="AE169" i="11"/>
  <c r="AF169" i="11"/>
  <c r="AG169" i="11"/>
  <c r="AH169" i="11"/>
  <c r="AD170" i="11"/>
  <c r="AE170" i="11"/>
  <c r="AF170" i="11"/>
  <c r="AG170" i="11"/>
  <c r="AH170" i="11"/>
  <c r="AD171" i="11"/>
  <c r="AE171" i="11"/>
  <c r="AF171" i="11"/>
  <c r="AG171" i="11"/>
  <c r="AH171" i="11"/>
  <c r="AD172" i="11"/>
  <c r="AE172" i="11"/>
  <c r="AF172" i="11"/>
  <c r="AG172" i="11"/>
  <c r="AH172" i="11"/>
  <c r="AD173" i="11"/>
  <c r="AE173" i="11"/>
  <c r="AF173" i="11"/>
  <c r="AG173" i="11"/>
  <c r="AH173" i="11"/>
  <c r="AD174" i="11"/>
  <c r="AE174" i="11"/>
  <c r="AF174" i="11"/>
  <c r="AG174" i="11"/>
  <c r="AH174" i="11"/>
  <c r="AD175" i="11"/>
  <c r="AE175" i="11"/>
  <c r="AF175" i="11"/>
  <c r="AG175" i="11"/>
  <c r="AH175" i="11"/>
  <c r="AD176" i="11"/>
  <c r="AE176" i="11"/>
  <c r="AF176" i="11"/>
  <c r="AG176" i="11"/>
  <c r="AH176" i="11"/>
  <c r="AD177" i="11"/>
  <c r="AE177" i="11"/>
  <c r="AF177" i="11"/>
  <c r="AG177" i="11"/>
  <c r="AH177" i="11"/>
  <c r="AD178" i="11"/>
  <c r="AE178" i="11"/>
  <c r="AF178" i="11"/>
  <c r="AG178" i="11"/>
  <c r="AH178" i="11"/>
  <c r="AD179" i="11"/>
  <c r="AE179" i="11"/>
  <c r="AF179" i="11"/>
  <c r="AG179" i="11"/>
  <c r="AH179" i="11"/>
  <c r="AD180" i="11"/>
  <c r="AE180" i="11"/>
  <c r="AF180" i="11"/>
  <c r="AG180" i="11"/>
  <c r="AH180" i="11"/>
  <c r="AD181" i="11"/>
  <c r="AE181" i="11"/>
  <c r="AF181" i="11"/>
  <c r="AG181" i="11"/>
  <c r="AH181" i="11"/>
  <c r="AD182" i="11"/>
  <c r="AE182" i="11"/>
  <c r="AF182" i="11"/>
  <c r="AG182" i="11"/>
  <c r="AH182" i="11"/>
  <c r="AD183" i="11"/>
  <c r="AE183" i="11"/>
  <c r="AF183" i="11"/>
  <c r="AG183" i="11"/>
  <c r="AH183" i="11"/>
  <c r="AD184" i="11"/>
  <c r="AE184" i="11"/>
  <c r="AF184" i="11"/>
  <c r="AG184" i="11"/>
  <c r="AH184" i="11"/>
  <c r="AD185" i="11"/>
  <c r="AE185" i="11"/>
  <c r="AF185" i="11"/>
  <c r="AG185" i="11"/>
  <c r="AH185" i="11"/>
  <c r="AD186" i="11"/>
  <c r="AE186" i="11"/>
  <c r="AF186" i="11"/>
  <c r="AG186" i="11"/>
  <c r="AH186" i="11"/>
  <c r="AD187" i="11"/>
  <c r="AE187" i="11"/>
  <c r="AF187" i="11"/>
  <c r="AG187" i="11"/>
  <c r="AH187" i="11"/>
  <c r="AD188" i="11"/>
  <c r="AE188" i="11"/>
  <c r="AF188" i="11"/>
  <c r="AG188" i="11"/>
  <c r="AH188" i="11"/>
  <c r="AD189" i="11"/>
  <c r="AE189" i="11"/>
  <c r="AF189" i="11"/>
  <c r="AG189" i="11"/>
  <c r="AH189" i="11"/>
  <c r="AD190" i="11"/>
  <c r="AE190" i="11"/>
  <c r="AF190" i="11"/>
  <c r="AG190" i="11"/>
  <c r="AH190" i="11"/>
  <c r="AD191" i="11"/>
  <c r="AE191" i="11"/>
  <c r="AF191" i="11"/>
  <c r="AG191" i="11"/>
  <c r="AH191" i="11"/>
  <c r="AD192" i="11"/>
  <c r="AE192" i="11"/>
  <c r="AF192" i="11"/>
  <c r="AG192" i="11"/>
  <c r="AH192" i="11"/>
  <c r="AD193" i="11"/>
  <c r="AE193" i="11"/>
  <c r="AF193" i="11"/>
  <c r="AG193" i="11"/>
  <c r="AH193" i="11"/>
  <c r="AD194" i="11"/>
  <c r="AE194" i="11"/>
  <c r="AF194" i="11"/>
  <c r="AG194" i="11"/>
  <c r="AH194" i="11"/>
  <c r="AD195" i="11"/>
  <c r="AE195" i="11"/>
  <c r="AF195" i="11"/>
  <c r="AG195" i="11"/>
  <c r="AH195" i="11"/>
  <c r="AD196" i="11"/>
  <c r="AE196" i="11"/>
  <c r="AF196" i="11"/>
  <c r="AG196" i="11"/>
  <c r="AH196" i="11"/>
  <c r="AD197" i="11"/>
  <c r="AE197" i="11"/>
  <c r="AF197" i="11"/>
  <c r="AG197" i="11"/>
  <c r="AH197" i="11"/>
  <c r="AD198" i="11"/>
  <c r="AE198" i="11"/>
  <c r="AF198" i="11"/>
  <c r="AG198" i="11"/>
  <c r="AH198" i="11"/>
  <c r="AD199" i="11"/>
  <c r="AE199" i="11"/>
  <c r="AF199" i="11"/>
  <c r="AG199" i="11"/>
  <c r="AH199" i="11"/>
  <c r="AD200" i="11"/>
  <c r="AE200" i="11"/>
  <c r="AF200" i="11"/>
  <c r="AG200" i="11"/>
  <c r="AH200" i="11"/>
  <c r="AD201" i="11"/>
  <c r="AE201" i="11"/>
  <c r="AF201" i="11"/>
  <c r="AG201" i="11"/>
  <c r="AH201" i="11"/>
  <c r="AD202" i="11"/>
  <c r="AE202" i="11"/>
  <c r="AF202" i="11"/>
  <c r="AG202" i="11"/>
  <c r="AH202" i="11"/>
  <c r="AD203" i="11"/>
  <c r="AE203" i="11"/>
  <c r="AF203" i="11"/>
  <c r="AG203" i="11"/>
  <c r="AH203" i="11"/>
  <c r="AD204" i="11"/>
  <c r="AE204" i="11"/>
  <c r="AF204" i="11"/>
  <c r="AG204" i="11"/>
  <c r="AH204" i="11"/>
  <c r="AD205" i="11"/>
  <c r="AE205" i="11"/>
  <c r="AF205" i="11"/>
  <c r="AG205" i="11"/>
  <c r="AH205" i="11"/>
  <c r="AD206" i="11"/>
  <c r="AE206" i="11"/>
  <c r="AF206" i="11"/>
  <c r="AG206" i="11"/>
  <c r="AH206" i="11"/>
  <c r="AD207" i="11"/>
  <c r="AE207" i="11"/>
  <c r="AF207" i="11"/>
  <c r="AG207" i="11"/>
  <c r="AH207" i="11"/>
  <c r="AD208" i="11"/>
  <c r="AE208" i="11"/>
  <c r="AF208" i="11"/>
  <c r="AG208" i="11"/>
  <c r="AH208" i="11"/>
  <c r="AD209" i="11"/>
  <c r="AE209" i="11"/>
  <c r="AF209" i="11"/>
  <c r="AG209" i="11"/>
  <c r="AH209" i="11"/>
  <c r="AD210" i="11"/>
  <c r="AE210" i="11"/>
  <c r="AF210" i="11"/>
  <c r="AG210" i="11"/>
  <c r="AH210" i="11"/>
  <c r="AD211" i="11"/>
  <c r="AE211" i="11"/>
  <c r="AF211" i="11"/>
  <c r="AG211" i="11"/>
  <c r="AH211" i="11"/>
  <c r="AD212" i="11"/>
  <c r="AE212" i="11"/>
  <c r="AF212" i="11"/>
  <c r="AG212" i="11"/>
  <c r="AH212" i="11"/>
  <c r="AD213" i="11"/>
  <c r="AE213" i="11"/>
  <c r="AF213" i="11"/>
  <c r="AG213" i="11"/>
  <c r="AH213" i="11"/>
  <c r="AD214" i="11"/>
  <c r="AE214" i="11"/>
  <c r="AF214" i="11"/>
  <c r="AG214" i="11"/>
  <c r="AH214" i="11"/>
  <c r="AD215" i="11"/>
  <c r="AE215" i="11"/>
  <c r="AF215" i="11"/>
  <c r="AG215" i="11"/>
  <c r="AH215" i="11"/>
  <c r="AD216" i="11"/>
  <c r="AE216" i="11"/>
  <c r="AF216" i="11"/>
  <c r="AG216" i="11"/>
  <c r="AH216" i="11"/>
  <c r="AD217" i="11"/>
  <c r="AE217" i="11"/>
  <c r="AF217" i="11"/>
  <c r="AG217" i="11"/>
  <c r="AH217" i="11"/>
  <c r="AD218" i="11"/>
  <c r="AE218" i="11"/>
  <c r="AF218" i="11"/>
  <c r="AG218" i="11"/>
  <c r="AH218" i="11"/>
  <c r="AD219" i="11"/>
  <c r="AE219" i="11"/>
  <c r="AF219" i="11"/>
  <c r="AG219" i="11"/>
  <c r="AH219" i="11"/>
  <c r="AD220" i="11"/>
  <c r="AE220" i="11"/>
  <c r="AF220" i="11"/>
  <c r="AG220" i="11"/>
  <c r="AH220" i="11"/>
  <c r="Z193" i="15"/>
  <c r="AR197" i="15"/>
  <c r="T4" i="15"/>
  <c r="AV220" i="15"/>
  <c r="AU220" i="15"/>
  <c r="AT220" i="15"/>
  <c r="AS220" i="15"/>
  <c r="AR220" i="15"/>
  <c r="AU216" i="15"/>
  <c r="AU215" i="15"/>
  <c r="AT215" i="15"/>
  <c r="AS215" i="15"/>
  <c r="AR215" i="15"/>
  <c r="AV215" i="15" s="1"/>
  <c r="AU214" i="15"/>
  <c r="AT214" i="15"/>
  <c r="AS214" i="15"/>
  <c r="AV214" i="15" s="1"/>
  <c r="AR214" i="15"/>
  <c r="AU213" i="15"/>
  <c r="AT213" i="15"/>
  <c r="AS213" i="15"/>
  <c r="AR213" i="15"/>
  <c r="AV213" i="15" s="1"/>
  <c r="AU212" i="15"/>
  <c r="AT212" i="15"/>
  <c r="AT216" i="15" s="1"/>
  <c r="AS212" i="15"/>
  <c r="AS216" i="15" s="1"/>
  <c r="AR212" i="15"/>
  <c r="AR216" i="15" s="1"/>
  <c r="AU206" i="15"/>
  <c r="AT206" i="15"/>
  <c r="AV206" i="15" s="1"/>
  <c r="AS206" i="15"/>
  <c r="AR206" i="15"/>
  <c r="AU205" i="15"/>
  <c r="AT205" i="15"/>
  <c r="AS205" i="15"/>
  <c r="AR205" i="15"/>
  <c r="AV205" i="15" s="1"/>
  <c r="AU204" i="15"/>
  <c r="AT204" i="15"/>
  <c r="AS204" i="15"/>
  <c r="AR204" i="15"/>
  <c r="AV204" i="15" s="1"/>
  <c r="AV203" i="15"/>
  <c r="AU203" i="15"/>
  <c r="AT203" i="15"/>
  <c r="AS203" i="15"/>
  <c r="AR203" i="15"/>
  <c r="AU202" i="15"/>
  <c r="AT202" i="15"/>
  <c r="AS202" i="15"/>
  <c r="AR202" i="15"/>
  <c r="AV202" i="15" s="1"/>
  <c r="AU201" i="15"/>
  <c r="AV201" i="15" s="1"/>
  <c r="AT201" i="15"/>
  <c r="AS201" i="15"/>
  <c r="AR201" i="15"/>
  <c r="AU200" i="15"/>
  <c r="AT200" i="15"/>
  <c r="AS200" i="15"/>
  <c r="AR200" i="15"/>
  <c r="AV200" i="15" s="1"/>
  <c r="AU199" i="15"/>
  <c r="AT199" i="15"/>
  <c r="AS199" i="15"/>
  <c r="AV199" i="15" s="1"/>
  <c r="AR199" i="15"/>
  <c r="AU198" i="15"/>
  <c r="AT198" i="15"/>
  <c r="AS198" i="15"/>
  <c r="AR198" i="15"/>
  <c r="AV198" i="15" s="1"/>
  <c r="AU197" i="15"/>
  <c r="AU207" i="15" s="1"/>
  <c r="AT197" i="15"/>
  <c r="AT207" i="15" s="1"/>
  <c r="AS197" i="15"/>
  <c r="AS207" i="15" s="1"/>
  <c r="AV197" i="15"/>
  <c r="AU193" i="15"/>
  <c r="AT193" i="15"/>
  <c r="AS193" i="15"/>
  <c r="AR193" i="15"/>
  <c r="AV193" i="15" s="1"/>
  <c r="AV192" i="15"/>
  <c r="AU192" i="15"/>
  <c r="AT192" i="15"/>
  <c r="AS192" i="15"/>
  <c r="AR192" i="15"/>
  <c r="AU191" i="15"/>
  <c r="AT191" i="15"/>
  <c r="AS191" i="15"/>
  <c r="AR191" i="15"/>
  <c r="AV191" i="15" s="1"/>
  <c r="AU190" i="15"/>
  <c r="AT190" i="15"/>
  <c r="AV190" i="15" s="1"/>
  <c r="AS190" i="15"/>
  <c r="AR190" i="15"/>
  <c r="AU189" i="15"/>
  <c r="AT189" i="15"/>
  <c r="AS189" i="15"/>
  <c r="AR189" i="15"/>
  <c r="AV189" i="15" s="1"/>
  <c r="AU188" i="15"/>
  <c r="AT188" i="15"/>
  <c r="AS188" i="15"/>
  <c r="AR188" i="15"/>
  <c r="AV188" i="15" s="1"/>
  <c r="AV187" i="15"/>
  <c r="AU187" i="15"/>
  <c r="AT187" i="15"/>
  <c r="AS187" i="15"/>
  <c r="AR187" i="15"/>
  <c r="AU186" i="15"/>
  <c r="AT186" i="15"/>
  <c r="AS186" i="15"/>
  <c r="AR186" i="15"/>
  <c r="AV186" i="15" s="1"/>
  <c r="AU185" i="15"/>
  <c r="AV185" i="15" s="1"/>
  <c r="AT185" i="15"/>
  <c r="AS185" i="15"/>
  <c r="AR185" i="15"/>
  <c r="AU184" i="15"/>
  <c r="AT184" i="15"/>
  <c r="AS184" i="15"/>
  <c r="AR184" i="15"/>
  <c r="AV184" i="15" s="1"/>
  <c r="AU183" i="15"/>
  <c r="AT183" i="15"/>
  <c r="AS183" i="15"/>
  <c r="AV183" i="15" s="1"/>
  <c r="AR183" i="15"/>
  <c r="AU182" i="15"/>
  <c r="AT182" i="15"/>
  <c r="AS182" i="15"/>
  <c r="AR182" i="15"/>
  <c r="AV182" i="15" s="1"/>
  <c r="AU181" i="15"/>
  <c r="AT181" i="15"/>
  <c r="AS181" i="15"/>
  <c r="AR181" i="15"/>
  <c r="AV181" i="15" s="1"/>
  <c r="AV180" i="15"/>
  <c r="AU180" i="15"/>
  <c r="AT180" i="15"/>
  <c r="AS180" i="15"/>
  <c r="AR180" i="15"/>
  <c r="AU179" i="15"/>
  <c r="AT179" i="15"/>
  <c r="AS179" i="15"/>
  <c r="AR179" i="15"/>
  <c r="AV179" i="15" s="1"/>
  <c r="AU178" i="15"/>
  <c r="AT178" i="15"/>
  <c r="AS178" i="15"/>
  <c r="AU177" i="15"/>
  <c r="AT177" i="15"/>
  <c r="AS177" i="15"/>
  <c r="AR177" i="15"/>
  <c r="AV177" i="15" s="1"/>
  <c r="AU176" i="15"/>
  <c r="AT176" i="15"/>
  <c r="AS176" i="15"/>
  <c r="AR176" i="15"/>
  <c r="AV176" i="15" s="1"/>
  <c r="AV175" i="15"/>
  <c r="AU175" i="15"/>
  <c r="AT175" i="15"/>
  <c r="AS175" i="15"/>
  <c r="AR175" i="15"/>
  <c r="AU174" i="15"/>
  <c r="AU194" i="15" s="1"/>
  <c r="AT174" i="15"/>
  <c r="AT194" i="15" s="1"/>
  <c r="AS174" i="15"/>
  <c r="AS194" i="15" s="1"/>
  <c r="AR174" i="15"/>
  <c r="AU170" i="15"/>
  <c r="AT170" i="15"/>
  <c r="AS170" i="15"/>
  <c r="AU169" i="15"/>
  <c r="AV169" i="15" s="1"/>
  <c r="AT169" i="15"/>
  <c r="AS169" i="15"/>
  <c r="AR169" i="15"/>
  <c r="AU168" i="15"/>
  <c r="AT168" i="15"/>
  <c r="AS168" i="15"/>
  <c r="AU167" i="15"/>
  <c r="AT167" i="15"/>
  <c r="AS167" i="15"/>
  <c r="AV167" i="15" s="1"/>
  <c r="AR167" i="15"/>
  <c r="AU166" i="15"/>
  <c r="AT166" i="15"/>
  <c r="AS166" i="15"/>
  <c r="AR166" i="15"/>
  <c r="AV166" i="15" s="1"/>
  <c r="AU165" i="15"/>
  <c r="AT165" i="15"/>
  <c r="AS165" i="15"/>
  <c r="AR165" i="15"/>
  <c r="AV165" i="15" s="1"/>
  <c r="AU164" i="15"/>
  <c r="AT164" i="15"/>
  <c r="AS164" i="15"/>
  <c r="AU163" i="15"/>
  <c r="AT163" i="15"/>
  <c r="AS163" i="15"/>
  <c r="AR163" i="15"/>
  <c r="AV163" i="15" s="1"/>
  <c r="AU162" i="15"/>
  <c r="AU171" i="15" s="1"/>
  <c r="AT162" i="15"/>
  <c r="AV162" i="15" s="1"/>
  <c r="AS162" i="15"/>
  <c r="AS171" i="15" s="1"/>
  <c r="AR162" i="15"/>
  <c r="AU158" i="15"/>
  <c r="AT158" i="15"/>
  <c r="AV158" i="15" s="1"/>
  <c r="AS158" i="15"/>
  <c r="AR158" i="15"/>
  <c r="AU157" i="15"/>
  <c r="AT157" i="15"/>
  <c r="AS157" i="15"/>
  <c r="AU156" i="15"/>
  <c r="AT156" i="15"/>
  <c r="AS156" i="15"/>
  <c r="AV155" i="15"/>
  <c r="AU155" i="15"/>
  <c r="AT155" i="15"/>
  <c r="AS155" i="15"/>
  <c r="AR155" i="15"/>
  <c r="AU154" i="15"/>
  <c r="AT154" i="15"/>
  <c r="AT159" i="15" s="1"/>
  <c r="AS154" i="15"/>
  <c r="AR154" i="15"/>
  <c r="AU153" i="15"/>
  <c r="AT153" i="15"/>
  <c r="AR153" i="15"/>
  <c r="AU152" i="15"/>
  <c r="AT152" i="15"/>
  <c r="AS152" i="15"/>
  <c r="AR152" i="15"/>
  <c r="AV152" i="15" s="1"/>
  <c r="AU149" i="15"/>
  <c r="AU148" i="15"/>
  <c r="AT148" i="15"/>
  <c r="AS148" i="15"/>
  <c r="AU147" i="15"/>
  <c r="AT147" i="15"/>
  <c r="AS147" i="15"/>
  <c r="AV147" i="15" s="1"/>
  <c r="AR147" i="15"/>
  <c r="AU146" i="15"/>
  <c r="AT146" i="15"/>
  <c r="AS146" i="15"/>
  <c r="AU145" i="15"/>
  <c r="AT145" i="15"/>
  <c r="AT149" i="15" s="1"/>
  <c r="AS145" i="15"/>
  <c r="AU144" i="15"/>
  <c r="AT144" i="15"/>
  <c r="AS144" i="15"/>
  <c r="AS149" i="15" s="1"/>
  <c r="AV140" i="15"/>
  <c r="AU140" i="15"/>
  <c r="AT140" i="15"/>
  <c r="AS140" i="15"/>
  <c r="AR140" i="15"/>
  <c r="AU139" i="15"/>
  <c r="AT139" i="15"/>
  <c r="AS139" i="15"/>
  <c r="AU138" i="15"/>
  <c r="AT138" i="15"/>
  <c r="AS138" i="15"/>
  <c r="AU137" i="15"/>
  <c r="AT137" i="15"/>
  <c r="AS137" i="15"/>
  <c r="AR137" i="15"/>
  <c r="AV137" i="15" s="1"/>
  <c r="AU136" i="15"/>
  <c r="AU141" i="15" s="1"/>
  <c r="AT136" i="15"/>
  <c r="AT141" i="15" s="1"/>
  <c r="AS136" i="15"/>
  <c r="AS141" i="15" s="1"/>
  <c r="AR136" i="15"/>
  <c r="AV136" i="15" s="1"/>
  <c r="AV135" i="15"/>
  <c r="AU135" i="15"/>
  <c r="AT135" i="15"/>
  <c r="AS135" i="15"/>
  <c r="AR135" i="15"/>
  <c r="AV131" i="15"/>
  <c r="AU131" i="15"/>
  <c r="AT131" i="15"/>
  <c r="AS131" i="15"/>
  <c r="AR131" i="15"/>
  <c r="AU130" i="15"/>
  <c r="AT130" i="15"/>
  <c r="AS130" i="15"/>
  <c r="AR130" i="15"/>
  <c r="AV130" i="15" s="1"/>
  <c r="AU129" i="15"/>
  <c r="AT129" i="15"/>
  <c r="AU128" i="15"/>
  <c r="AT128" i="15"/>
  <c r="AU127" i="15"/>
  <c r="AU132" i="15" s="1"/>
  <c r="AT127" i="15"/>
  <c r="AT132" i="15" s="1"/>
  <c r="AU126" i="15"/>
  <c r="AT126" i="15"/>
  <c r="AV124" i="15"/>
  <c r="AU124" i="15"/>
  <c r="AT124" i="15"/>
  <c r="AS124" i="15"/>
  <c r="AR124" i="15"/>
  <c r="AU123" i="15"/>
  <c r="AT123" i="15"/>
  <c r="AU122" i="15"/>
  <c r="AT122" i="15"/>
  <c r="AV122" i="15" s="1"/>
  <c r="AS122" i="15"/>
  <c r="AR122" i="15"/>
  <c r="AU121" i="15"/>
  <c r="AT121" i="15"/>
  <c r="AS121" i="15"/>
  <c r="AR121" i="15"/>
  <c r="AV121" i="15" s="1"/>
  <c r="AU120" i="15"/>
  <c r="AU125" i="15" s="1"/>
  <c r="AT120" i="15"/>
  <c r="AT125" i="15" s="1"/>
  <c r="AS120" i="15"/>
  <c r="AR120" i="15"/>
  <c r="AV120" i="15" s="1"/>
  <c r="AV119" i="15"/>
  <c r="AU119" i="15"/>
  <c r="AT119" i="15"/>
  <c r="AS119" i="15"/>
  <c r="AR119" i="15"/>
  <c r="AV115" i="15"/>
  <c r="AU115" i="15"/>
  <c r="AT115" i="15"/>
  <c r="AS115" i="15"/>
  <c r="AR115" i="15"/>
  <c r="AU114" i="15"/>
  <c r="AT114" i="15"/>
  <c r="AS114" i="15"/>
  <c r="AR114" i="15"/>
  <c r="AV114" i="15" s="1"/>
  <c r="AU113" i="15"/>
  <c r="AT113" i="15"/>
  <c r="AU112" i="15"/>
  <c r="AT112" i="15"/>
  <c r="AS112" i="15"/>
  <c r="AU111" i="15"/>
  <c r="AU116" i="15" s="1"/>
  <c r="AT111" i="15"/>
  <c r="AT116" i="15" s="1"/>
  <c r="AU110" i="15"/>
  <c r="AT110" i="15"/>
  <c r="AS110" i="15"/>
  <c r="AV108" i="15"/>
  <c r="AU108" i="15"/>
  <c r="AT108" i="15"/>
  <c r="AS108" i="15"/>
  <c r="AR108" i="15"/>
  <c r="AU107" i="15"/>
  <c r="AT107" i="15"/>
  <c r="AS107" i="15"/>
  <c r="AR107" i="15"/>
  <c r="AV107" i="15" s="1"/>
  <c r="AU106" i="15"/>
  <c r="AT106" i="15"/>
  <c r="AV106" i="15" s="1"/>
  <c r="AS106" i="15"/>
  <c r="AR106" i="15"/>
  <c r="AU105" i="15"/>
  <c r="AT105" i="15"/>
  <c r="AS105" i="15"/>
  <c r="AR105" i="15"/>
  <c r="AV105" i="15" s="1"/>
  <c r="AU104" i="15"/>
  <c r="AT104" i="15"/>
  <c r="AS104" i="15"/>
  <c r="AR104" i="15"/>
  <c r="AV104" i="15" s="1"/>
  <c r="AV103" i="15"/>
  <c r="AU103" i="15"/>
  <c r="AT103" i="15"/>
  <c r="AS103" i="15"/>
  <c r="AR103" i="15"/>
  <c r="AU102" i="15"/>
  <c r="AT102" i="15"/>
  <c r="AS102" i="15"/>
  <c r="AR102" i="15"/>
  <c r="AV102" i="15" s="1"/>
  <c r="AU101" i="15"/>
  <c r="AT101" i="15"/>
  <c r="AS101" i="15"/>
  <c r="AU100" i="15"/>
  <c r="AT100" i="15"/>
  <c r="AS100" i="15"/>
  <c r="AR100" i="15"/>
  <c r="AV100" i="15" s="1"/>
  <c r="AU99" i="15"/>
  <c r="AT99" i="15"/>
  <c r="AS99" i="15"/>
  <c r="AV99" i="15" s="1"/>
  <c r="AR99" i="15"/>
  <c r="AU98" i="15"/>
  <c r="AT98" i="15"/>
  <c r="AS98" i="15"/>
  <c r="AR98" i="15"/>
  <c r="AV98" i="15" s="1"/>
  <c r="AU97" i="15"/>
  <c r="AT97" i="15"/>
  <c r="AS97" i="15"/>
  <c r="AS109" i="15" s="1"/>
  <c r="AR97" i="15"/>
  <c r="AV97" i="15" s="1"/>
  <c r="AV96" i="15"/>
  <c r="AU96" i="15"/>
  <c r="AT96" i="15"/>
  <c r="AS96" i="15"/>
  <c r="AR96" i="15"/>
  <c r="AU95" i="15"/>
  <c r="AT95" i="15"/>
  <c r="AS95" i="15"/>
  <c r="AR95" i="15"/>
  <c r="AV95" i="15" s="1"/>
  <c r="AU94" i="15"/>
  <c r="AU109" i="15" s="1"/>
  <c r="AT94" i="15"/>
  <c r="AT109" i="15" s="1"/>
  <c r="AS94" i="15"/>
  <c r="AR94" i="15"/>
  <c r="AU93" i="15"/>
  <c r="AT93" i="15"/>
  <c r="AS93" i="15"/>
  <c r="AR93" i="15"/>
  <c r="AV93" i="15" s="1"/>
  <c r="AU88" i="15"/>
  <c r="AT88" i="15"/>
  <c r="AU87" i="15"/>
  <c r="AT87" i="15"/>
  <c r="AS87" i="15"/>
  <c r="AR87" i="15"/>
  <c r="AV87" i="15" s="1"/>
  <c r="AU86" i="15"/>
  <c r="AT86" i="15"/>
  <c r="AS86" i="15"/>
  <c r="AS88" i="15" s="1"/>
  <c r="AR86" i="15"/>
  <c r="AV86" i="15" s="1"/>
  <c r="AV88" i="15" s="1"/>
  <c r="AV85" i="15"/>
  <c r="AU85" i="15"/>
  <c r="AT85" i="15"/>
  <c r="AS85" i="15"/>
  <c r="AR85" i="15"/>
  <c r="AV81" i="15"/>
  <c r="AU81" i="15"/>
  <c r="AT81" i="15"/>
  <c r="AS81" i="15"/>
  <c r="AR81" i="15"/>
  <c r="AU80" i="15"/>
  <c r="AT80" i="15"/>
  <c r="AS80" i="15"/>
  <c r="AR80" i="15"/>
  <c r="AV80" i="15" s="1"/>
  <c r="AU79" i="15"/>
  <c r="AV79" i="15" s="1"/>
  <c r="AT79" i="15"/>
  <c r="AS79" i="15"/>
  <c r="AR79" i="15"/>
  <c r="AU78" i="15"/>
  <c r="AT78" i="15"/>
  <c r="AS78" i="15"/>
  <c r="AR78" i="15"/>
  <c r="AV78" i="15" s="1"/>
  <c r="AU77" i="15"/>
  <c r="AT77" i="15"/>
  <c r="AS77" i="15"/>
  <c r="AV77" i="15" s="1"/>
  <c r="AR77" i="15"/>
  <c r="AU76" i="15"/>
  <c r="AT76" i="15"/>
  <c r="AS76" i="15"/>
  <c r="AR76" i="15"/>
  <c r="AV76" i="15" s="1"/>
  <c r="AU75" i="15"/>
  <c r="AT75" i="15"/>
  <c r="AS75" i="15"/>
  <c r="AR75" i="15"/>
  <c r="AV75" i="15" s="1"/>
  <c r="AV74" i="15"/>
  <c r="AU74" i="15"/>
  <c r="AT74" i="15"/>
  <c r="AS74" i="15"/>
  <c r="AR74" i="15"/>
  <c r="AU73" i="15"/>
  <c r="AT73" i="15"/>
  <c r="AS73" i="15"/>
  <c r="AR73" i="15"/>
  <c r="AV73" i="15" s="1"/>
  <c r="AU72" i="15"/>
  <c r="AT72" i="15"/>
  <c r="AV72" i="15" s="1"/>
  <c r="AS72" i="15"/>
  <c r="AR72" i="15"/>
  <c r="AU71" i="15"/>
  <c r="AT71" i="15"/>
  <c r="AS71" i="15"/>
  <c r="AU70" i="15"/>
  <c r="AU82" i="15" s="1"/>
  <c r="AT70" i="15"/>
  <c r="AT82" i="15" s="1"/>
  <c r="AS70" i="15"/>
  <c r="AS82" i="15" s="1"/>
  <c r="AR70" i="15"/>
  <c r="AV69" i="15"/>
  <c r="AU69" i="15"/>
  <c r="AT69" i="15"/>
  <c r="AS69" i="15"/>
  <c r="AR69" i="15"/>
  <c r="AU68" i="15"/>
  <c r="AT68" i="15"/>
  <c r="AS68" i="15"/>
  <c r="AV67" i="15"/>
  <c r="AV84" i="15" s="1"/>
  <c r="AV91" i="15" s="1"/>
  <c r="AV118" i="15" s="1"/>
  <c r="AV134" i="15" s="1"/>
  <c r="AU67" i="15"/>
  <c r="AU84" i="15" s="1"/>
  <c r="AU91" i="15" s="1"/>
  <c r="AU118" i="15" s="1"/>
  <c r="AU134" i="15" s="1"/>
  <c r="AU60" i="15"/>
  <c r="AT60" i="15"/>
  <c r="AS60" i="15"/>
  <c r="AV60" i="15" s="1"/>
  <c r="AR60" i="15"/>
  <c r="AU59" i="15"/>
  <c r="AT59" i="15"/>
  <c r="AS59" i="15"/>
  <c r="AR59" i="15"/>
  <c r="AV59" i="15" s="1"/>
  <c r="AU58" i="15"/>
  <c r="AT58" i="15"/>
  <c r="AS58" i="15"/>
  <c r="AR58" i="15"/>
  <c r="AV58" i="15" s="1"/>
  <c r="AV57" i="15"/>
  <c r="AU57" i="15"/>
  <c r="AT57" i="15"/>
  <c r="AS57" i="15"/>
  <c r="AR57" i="15"/>
  <c r="AU56" i="15"/>
  <c r="AT56" i="15"/>
  <c r="AS56" i="15"/>
  <c r="AR56" i="15"/>
  <c r="AV56" i="15" s="1"/>
  <c r="AU55" i="15"/>
  <c r="AT55" i="15"/>
  <c r="AV55" i="15" s="1"/>
  <c r="AS55" i="15"/>
  <c r="AR55" i="15"/>
  <c r="AU54" i="15"/>
  <c r="AT54" i="15"/>
  <c r="AS54" i="15"/>
  <c r="AR54" i="15"/>
  <c r="AV54" i="15" s="1"/>
  <c r="AU53" i="15"/>
  <c r="AT53" i="15"/>
  <c r="AS53" i="15"/>
  <c r="AR53" i="15"/>
  <c r="AV53" i="15" s="1"/>
  <c r="AV52" i="15"/>
  <c r="AU52" i="15"/>
  <c r="AT52" i="15"/>
  <c r="AS52" i="15"/>
  <c r="AR52" i="15"/>
  <c r="AU51" i="15"/>
  <c r="AT51" i="15"/>
  <c r="AS51" i="15"/>
  <c r="AR51" i="15"/>
  <c r="AV51" i="15" s="1"/>
  <c r="AU50" i="15"/>
  <c r="AT50" i="15"/>
  <c r="AS50" i="15"/>
  <c r="AR50" i="15"/>
  <c r="AU49" i="15"/>
  <c r="AT49" i="15"/>
  <c r="AS49" i="15"/>
  <c r="AR49" i="15"/>
  <c r="AV49" i="15" s="1"/>
  <c r="AU48" i="15"/>
  <c r="AT48" i="15"/>
  <c r="AS48" i="15"/>
  <c r="AV48" i="15" s="1"/>
  <c r="AR48" i="15"/>
  <c r="AU47" i="15"/>
  <c r="AT47" i="15"/>
  <c r="AS47" i="15"/>
  <c r="AR47" i="15"/>
  <c r="AV47" i="15" s="1"/>
  <c r="AU46" i="15"/>
  <c r="AT46" i="15"/>
  <c r="AS46" i="15"/>
  <c r="AR46" i="15"/>
  <c r="AV46" i="15" s="1"/>
  <c r="AV45" i="15"/>
  <c r="AU45" i="15"/>
  <c r="AT45" i="15"/>
  <c r="AS45" i="15"/>
  <c r="AR45" i="15"/>
  <c r="AU44" i="15"/>
  <c r="AT44" i="15"/>
  <c r="AS44" i="15"/>
  <c r="AR44" i="15"/>
  <c r="AV44" i="15" s="1"/>
  <c r="AU43" i="15"/>
  <c r="AT43" i="15"/>
  <c r="AV43" i="15" s="1"/>
  <c r="AS43" i="15"/>
  <c r="AR43" i="15"/>
  <c r="AU42" i="15"/>
  <c r="AT42" i="15"/>
  <c r="AS42" i="15"/>
  <c r="AR42" i="15"/>
  <c r="AV42" i="15" s="1"/>
  <c r="AU41" i="15"/>
  <c r="AT41" i="15"/>
  <c r="AS41" i="15"/>
  <c r="AR41" i="15"/>
  <c r="AV41" i="15" s="1"/>
  <c r="AV40" i="15"/>
  <c r="AU40" i="15"/>
  <c r="AT40" i="15"/>
  <c r="AS40" i="15"/>
  <c r="AR40" i="15"/>
  <c r="AU39" i="15"/>
  <c r="AU61" i="15" s="1"/>
  <c r="AU64" i="15" s="1"/>
  <c r="AT39" i="15"/>
  <c r="AT61" i="15" s="1"/>
  <c r="AT64" i="15" s="1"/>
  <c r="AS39" i="15"/>
  <c r="AR39" i="15"/>
  <c r="AV38" i="15"/>
  <c r="AU38" i="15"/>
  <c r="AU35" i="15"/>
  <c r="AT35" i="15"/>
  <c r="AS35" i="15"/>
  <c r="AR35" i="15"/>
  <c r="AV35" i="15" s="1"/>
  <c r="AU34" i="15"/>
  <c r="AV34" i="15" s="1"/>
  <c r="AT34" i="15"/>
  <c r="AS34" i="15"/>
  <c r="AR34" i="15"/>
  <c r="AU33" i="15"/>
  <c r="AT33" i="15"/>
  <c r="AS33" i="15"/>
  <c r="AR33" i="15"/>
  <c r="AV33" i="15" s="1"/>
  <c r="AU32" i="15"/>
  <c r="AT32" i="15"/>
  <c r="AS32" i="15"/>
  <c r="AV32" i="15" s="1"/>
  <c r="AR32" i="15"/>
  <c r="AU31" i="15"/>
  <c r="AT31" i="15"/>
  <c r="AS31" i="15"/>
  <c r="AR31" i="15"/>
  <c r="AV31" i="15" s="1"/>
  <c r="AU30" i="15"/>
  <c r="AT30" i="15"/>
  <c r="AS30" i="15"/>
  <c r="AR30" i="15"/>
  <c r="AV30" i="15" s="1"/>
  <c r="AV29" i="15"/>
  <c r="AU29" i="15"/>
  <c r="AT29" i="15"/>
  <c r="AS29" i="15"/>
  <c r="AR29" i="15"/>
  <c r="AU28" i="15"/>
  <c r="AT28" i="15"/>
  <c r="AS28" i="15"/>
  <c r="AR28" i="15"/>
  <c r="AV28" i="15" s="1"/>
  <c r="AU27" i="15"/>
  <c r="AU36" i="15" s="1"/>
  <c r="AU63" i="15" s="1"/>
  <c r="AU65" i="15" s="1"/>
  <c r="AT27" i="15"/>
  <c r="AT36" i="15" s="1"/>
  <c r="AT63" i="15" s="1"/>
  <c r="AT65" i="15" s="1"/>
  <c r="AS27" i="15"/>
  <c r="AS36" i="15" s="1"/>
  <c r="AS63" i="15" s="1"/>
  <c r="AR27" i="15"/>
  <c r="AR36" i="15" s="1"/>
  <c r="AR63" i="15" s="1"/>
  <c r="AV26" i="15"/>
  <c r="AU26" i="15"/>
  <c r="AU25" i="15"/>
  <c r="AS25" i="15"/>
  <c r="AR25" i="15"/>
  <c r="AV25" i="15" s="1"/>
  <c r="AU24" i="15"/>
  <c r="AT24" i="15"/>
  <c r="AS24" i="15"/>
  <c r="AR24" i="15"/>
  <c r="AU23" i="15"/>
  <c r="AT23" i="15"/>
  <c r="AS23" i="15"/>
  <c r="AR23" i="15"/>
  <c r="AV23" i="15" s="1"/>
  <c r="AU22" i="15"/>
  <c r="AT22" i="15"/>
  <c r="AS22" i="15"/>
  <c r="AR22" i="15"/>
  <c r="AV22" i="15" s="1"/>
  <c r="AV21" i="15"/>
  <c r="AU21" i="15"/>
  <c r="AT21" i="15"/>
  <c r="AS21" i="15"/>
  <c r="AR21" i="15"/>
  <c r="AR16" i="15"/>
  <c r="AR15" i="15"/>
  <c r="AR14" i="15"/>
  <c r="AR13" i="15"/>
  <c r="AR12" i="15"/>
  <c r="AR11" i="15"/>
  <c r="AR10" i="15"/>
  <c r="AR9" i="15"/>
  <c r="AR8" i="15"/>
  <c r="AR7" i="15"/>
  <c r="AR6" i="15"/>
  <c r="AR5" i="15"/>
  <c r="AR4" i="15"/>
  <c r="AR2" i="15"/>
  <c r="Z212" i="15"/>
  <c r="Z206" i="15"/>
  <c r="Z205" i="15"/>
  <c r="Z203" i="15"/>
  <c r="AD203" i="15" s="1"/>
  <c r="Z202" i="15"/>
  <c r="Z185" i="15"/>
  <c r="Z184" i="15"/>
  <c r="Z183" i="15"/>
  <c r="Z182" i="15"/>
  <c r="AD182" i="15" s="1"/>
  <c r="Z178" i="15"/>
  <c r="Z176" i="15"/>
  <c r="AD176" i="15" s="1"/>
  <c r="Z175" i="15"/>
  <c r="Z174" i="15"/>
  <c r="AD174" i="15" s="1"/>
  <c r="Z168" i="15"/>
  <c r="Z165" i="15"/>
  <c r="AD165" i="15"/>
  <c r="Z164" i="15"/>
  <c r="Z154" i="15"/>
  <c r="AA154" i="15"/>
  <c r="AA153" i="15"/>
  <c r="Z152" i="15"/>
  <c r="Z148" i="15"/>
  <c r="Z146" i="15"/>
  <c r="Z145" i="15"/>
  <c r="Z144" i="15"/>
  <c r="AA140" i="15"/>
  <c r="Z139" i="15"/>
  <c r="AH111" i="15"/>
  <c r="AG111" i="15"/>
  <c r="AF111" i="15"/>
  <c r="AH110" i="15"/>
  <c r="AG110" i="15"/>
  <c r="AF110" i="15"/>
  <c r="AI127" i="15"/>
  <c r="AH127" i="15"/>
  <c r="AG127" i="15"/>
  <c r="AF127" i="15"/>
  <c r="AI126" i="15"/>
  <c r="AH126" i="15"/>
  <c r="AG126" i="15"/>
  <c r="AF126" i="15"/>
  <c r="Z138" i="15"/>
  <c r="Z135" i="15"/>
  <c r="AA128" i="15"/>
  <c r="Z128" i="15"/>
  <c r="AB127" i="15"/>
  <c r="AA127" i="15"/>
  <c r="AB126" i="15"/>
  <c r="AA126" i="15"/>
  <c r="Z126" i="15"/>
  <c r="Z123" i="15"/>
  <c r="AA123" i="15"/>
  <c r="AA122" i="15"/>
  <c r="Z121" i="15"/>
  <c r="Z119" i="15"/>
  <c r="Z112" i="15"/>
  <c r="AD112" i="15" s="1"/>
  <c r="AC111" i="15"/>
  <c r="AB111" i="15"/>
  <c r="AA111" i="15"/>
  <c r="AC110" i="15"/>
  <c r="AB110" i="15"/>
  <c r="AA110" i="15"/>
  <c r="AB103" i="15"/>
  <c r="Z101" i="15"/>
  <c r="AD101" i="15" s="1"/>
  <c r="Z99" i="15"/>
  <c r="Z98" i="15"/>
  <c r="Z95" i="15"/>
  <c r="Z94" i="15"/>
  <c r="AB180" i="15"/>
  <c r="AB194" i="15" s="1"/>
  <c r="AB181" i="15"/>
  <c r="AB81" i="15"/>
  <c r="AB80" i="15"/>
  <c r="AB82" i="15" s="1"/>
  <c r="AA74" i="15"/>
  <c r="AD220" i="15"/>
  <c r="AC220" i="15"/>
  <c r="AB220" i="15"/>
  <c r="AA220" i="15"/>
  <c r="Z220" i="15"/>
  <c r="AC216" i="15"/>
  <c r="AB216" i="15"/>
  <c r="AA216" i="15"/>
  <c r="AD215" i="15"/>
  <c r="AD214" i="15"/>
  <c r="AD213" i="15"/>
  <c r="AC207" i="15"/>
  <c r="AB207" i="15"/>
  <c r="AA207" i="15"/>
  <c r="AD206" i="15"/>
  <c r="AD205" i="15"/>
  <c r="AD204" i="15"/>
  <c r="AD202" i="15"/>
  <c r="AD201" i="15"/>
  <c r="AD200" i="15"/>
  <c r="AD199" i="15"/>
  <c r="AD198" i="15"/>
  <c r="AD197" i="15"/>
  <c r="AC194" i="15"/>
  <c r="AA194" i="15"/>
  <c r="AD192" i="15"/>
  <c r="AD191" i="15"/>
  <c r="AD190" i="15"/>
  <c r="AD189" i="15"/>
  <c r="AD188" i="15"/>
  <c r="AD187" i="15"/>
  <c r="AD186" i="15"/>
  <c r="AD185" i="15"/>
  <c r="AD184" i="15"/>
  <c r="AD183" i="15"/>
  <c r="AD181" i="15"/>
  <c r="AD179" i="15"/>
  <c r="AD177" i="15"/>
  <c r="AC171" i="15"/>
  <c r="AB171" i="15"/>
  <c r="AA171" i="15"/>
  <c r="AD169" i="15"/>
  <c r="AD167" i="15"/>
  <c r="AD166" i="15"/>
  <c r="AD163" i="15"/>
  <c r="AD162" i="15"/>
  <c r="AB159" i="15"/>
  <c r="AD158" i="15"/>
  <c r="AD155" i="15"/>
  <c r="AB154" i="15"/>
  <c r="AC149" i="15"/>
  <c r="AB149" i="15"/>
  <c r="AA149" i="15"/>
  <c r="AD147" i="15"/>
  <c r="AC141" i="15"/>
  <c r="AB141" i="15"/>
  <c r="AA141" i="15"/>
  <c r="AD137" i="15"/>
  <c r="AD136" i="15"/>
  <c r="AD131" i="15"/>
  <c r="AD130" i="15"/>
  <c r="AC125" i="15"/>
  <c r="AC126" i="15" s="1"/>
  <c r="AB125" i="15"/>
  <c r="Z124" i="15"/>
  <c r="AD124" i="15" s="1"/>
  <c r="AC123" i="15"/>
  <c r="AB123" i="15"/>
  <c r="AD123" i="15"/>
  <c r="AD122" i="15"/>
  <c r="AD120" i="15"/>
  <c r="AD115" i="15"/>
  <c r="AD114" i="15"/>
  <c r="AC112" i="15"/>
  <c r="AB112" i="15"/>
  <c r="AA112" i="15"/>
  <c r="AC109" i="15"/>
  <c r="AB109" i="15"/>
  <c r="AA109" i="15"/>
  <c r="AD108" i="15"/>
  <c r="AD107" i="15"/>
  <c r="AD106" i="15"/>
  <c r="AD105" i="15"/>
  <c r="AD104" i="15"/>
  <c r="AD103" i="15"/>
  <c r="AD102" i="15"/>
  <c r="AD100" i="15"/>
  <c r="AD99" i="15"/>
  <c r="AD98" i="15"/>
  <c r="AD97" i="15"/>
  <c r="AD96" i="15"/>
  <c r="AD95" i="15"/>
  <c r="AD94" i="15"/>
  <c r="AD93" i="15"/>
  <c r="AD88" i="15"/>
  <c r="AC88" i="15"/>
  <c r="AB88" i="15"/>
  <c r="AA88" i="15"/>
  <c r="Z88" i="15"/>
  <c r="AD84" i="15"/>
  <c r="AD91" i="15" s="1"/>
  <c r="AD118" i="15" s="1"/>
  <c r="AD134" i="15" s="1"/>
  <c r="AC84" i="15"/>
  <c r="AC91" i="15" s="1"/>
  <c r="AC118" i="15" s="1"/>
  <c r="AC134" i="15" s="1"/>
  <c r="AC82" i="15"/>
  <c r="AD81" i="15"/>
  <c r="AD80" i="15"/>
  <c r="AD79" i="15"/>
  <c r="AD78" i="15"/>
  <c r="AD77" i="15"/>
  <c r="AD76" i="15"/>
  <c r="AA75" i="15"/>
  <c r="AD75" i="15" s="1"/>
  <c r="AA82" i="15"/>
  <c r="AD73" i="15"/>
  <c r="AD72" i="15"/>
  <c r="Z70" i="15"/>
  <c r="AD70" i="15" s="1"/>
  <c r="Z69" i="15"/>
  <c r="AD69" i="15" s="1"/>
  <c r="AD67" i="15"/>
  <c r="AC67" i="15"/>
  <c r="AC64" i="15"/>
  <c r="AC113" i="15" s="1"/>
  <c r="AB64" i="15"/>
  <c r="AA64" i="15"/>
  <c r="AA113" i="15" s="1"/>
  <c r="AB63" i="15"/>
  <c r="AB129" i="15" s="1"/>
  <c r="AA63" i="15"/>
  <c r="AA129" i="15" s="1"/>
  <c r="AC61" i="15"/>
  <c r="AB61" i="15"/>
  <c r="AA61" i="15"/>
  <c r="Z61" i="15"/>
  <c r="Z64" i="15" s="1"/>
  <c r="Z113" i="15" s="1"/>
  <c r="AD60" i="15"/>
  <c r="AD59" i="15"/>
  <c r="AD58" i="15"/>
  <c r="AD57" i="15"/>
  <c r="AD56" i="15"/>
  <c r="AD55" i="15"/>
  <c r="AD54" i="15"/>
  <c r="AD53" i="15"/>
  <c r="AD52" i="15"/>
  <c r="AD51" i="15"/>
  <c r="AD50" i="15"/>
  <c r="AD49" i="15"/>
  <c r="AD48" i="15"/>
  <c r="AD47" i="15"/>
  <c r="AD46" i="15"/>
  <c r="AD45" i="15"/>
  <c r="AD44" i="15"/>
  <c r="AD43" i="15"/>
  <c r="AD42" i="15"/>
  <c r="AD41" i="15"/>
  <c r="AD40" i="15"/>
  <c r="AD39" i="15"/>
  <c r="AD38" i="15"/>
  <c r="AC38" i="15"/>
  <c r="AC36" i="15"/>
  <c r="AC154" i="15" s="1"/>
  <c r="AC159" i="15" s="1"/>
  <c r="AB36" i="15"/>
  <c r="AA36" i="15"/>
  <c r="Z36" i="15"/>
  <c r="AD35" i="15"/>
  <c r="AD34" i="15"/>
  <c r="AD33" i="15"/>
  <c r="AD32" i="15"/>
  <c r="AD31" i="15"/>
  <c r="AD30" i="15"/>
  <c r="AD29" i="15"/>
  <c r="AD28" i="15"/>
  <c r="AD27" i="15"/>
  <c r="AD26" i="15"/>
  <c r="AC26" i="15"/>
  <c r="AD25" i="15"/>
  <c r="AD24" i="15"/>
  <c r="AD23" i="15"/>
  <c r="AD22" i="15"/>
  <c r="AD21" i="15"/>
  <c r="AA17" i="15"/>
  <c r="Z10" i="15"/>
  <c r="Z9" i="15"/>
  <c r="Z8" i="15"/>
  <c r="Z17" i="15" s="1"/>
  <c r="Z7" i="15"/>
  <c r="Z6" i="15"/>
  <c r="Z5" i="15"/>
  <c r="Z4" i="15"/>
  <c r="Z3" i="15" s="1"/>
  <c r="Z2" i="15"/>
  <c r="Z71" i="15" s="1"/>
  <c r="AD71" i="15" s="1"/>
  <c r="AR101" i="15" l="1"/>
  <c r="AV101" i="15"/>
  <c r="AR61" i="15"/>
  <c r="AR64" i="15" s="1"/>
  <c r="AR65" i="15" s="1"/>
  <c r="AR112" i="15"/>
  <c r="AV112" i="15" s="1"/>
  <c r="AR3" i="15"/>
  <c r="AR17" i="15"/>
  <c r="AS61" i="15"/>
  <c r="AS64" i="15" s="1"/>
  <c r="AS65" i="15" s="1"/>
  <c r="AV50" i="15"/>
  <c r="AV24" i="15"/>
  <c r="AV207" i="15"/>
  <c r="AU151" i="15"/>
  <c r="AU161" i="15" s="1"/>
  <c r="AU173" i="15" s="1"/>
  <c r="AU196" i="15" s="1"/>
  <c r="AU143" i="15"/>
  <c r="AV151" i="15"/>
  <c r="AV161" i="15" s="1"/>
  <c r="AV173" i="15" s="1"/>
  <c r="AV196" i="15" s="1"/>
  <c r="AV143" i="15"/>
  <c r="AR207" i="15"/>
  <c r="AU159" i="15"/>
  <c r="AU209" i="15" s="1"/>
  <c r="AU218" i="15" s="1"/>
  <c r="AV27" i="15"/>
  <c r="AV36" i="15" s="1"/>
  <c r="AV94" i="15"/>
  <c r="AV109" i="15" s="1"/>
  <c r="AV70" i="15"/>
  <c r="AV212" i="15"/>
  <c r="AV216" i="15" s="1"/>
  <c r="AV154" i="15"/>
  <c r="AV174" i="15"/>
  <c r="AR109" i="15"/>
  <c r="AV39" i="15"/>
  <c r="AT171" i="15"/>
  <c r="AT209" i="15" s="1"/>
  <c r="AT218" i="15" s="1"/>
  <c r="AR88" i="15"/>
  <c r="AD61" i="15"/>
  <c r="AD64" i="15" s="1"/>
  <c r="AA125" i="15"/>
  <c r="AD154" i="15"/>
  <c r="AD36" i="15"/>
  <c r="AD63" i="15" s="1"/>
  <c r="AD121" i="15"/>
  <c r="Z125" i="15"/>
  <c r="AD128" i="15"/>
  <c r="AC151" i="15"/>
  <c r="AC161" i="15" s="1"/>
  <c r="AC173" i="15" s="1"/>
  <c r="AC196" i="15" s="1"/>
  <c r="AC143" i="15"/>
  <c r="AD151" i="15"/>
  <c r="AD161" i="15" s="1"/>
  <c r="AD173" i="15" s="1"/>
  <c r="AD196" i="15" s="1"/>
  <c r="AD143" i="15"/>
  <c r="AD109" i="15"/>
  <c r="AD207" i="15"/>
  <c r="AD148" i="15"/>
  <c r="AD139" i="15"/>
  <c r="AD178" i="15"/>
  <c r="Z68" i="15"/>
  <c r="AD145" i="15"/>
  <c r="AD138" i="15"/>
  <c r="AD168" i="15"/>
  <c r="AD146" i="15"/>
  <c r="AD175" i="15"/>
  <c r="AD140" i="15"/>
  <c r="AB113" i="15"/>
  <c r="AD113" i="15" s="1"/>
  <c r="AD180" i="15"/>
  <c r="AC63" i="15"/>
  <c r="AA116" i="15"/>
  <c r="AD119" i="15"/>
  <c r="AD125" i="15" s="1"/>
  <c r="AD74" i="15"/>
  <c r="Z109" i="15"/>
  <c r="Z110" i="15" s="1"/>
  <c r="AR110" i="15" s="1"/>
  <c r="AB132" i="15"/>
  <c r="AB209" i="15" s="1"/>
  <c r="AB218" i="15" s="1"/>
  <c r="Z207" i="15"/>
  <c r="AD152" i="15"/>
  <c r="Z216" i="15"/>
  <c r="AD212" i="15"/>
  <c r="AD216" i="15" s="1"/>
  <c r="AA65" i="15"/>
  <c r="Z63" i="15"/>
  <c r="AB65" i="15"/>
  <c r="AB116" i="15" s="1"/>
  <c r="AV63" i="15" l="1"/>
  <c r="AV61" i="15"/>
  <c r="AV64" i="15" s="1"/>
  <c r="AV110" i="15"/>
  <c r="AD65" i="15"/>
  <c r="AA132" i="15"/>
  <c r="AD126" i="15"/>
  <c r="AD164" i="15"/>
  <c r="AD135" i="15"/>
  <c r="AD141" i="15" s="1"/>
  <c r="Z141" i="15"/>
  <c r="AC129" i="15"/>
  <c r="AC65" i="15"/>
  <c r="AC116" i="15" s="1"/>
  <c r="AC127" i="15"/>
  <c r="AC132" i="15" s="1"/>
  <c r="AC209" i="15" s="1"/>
  <c r="AC218" i="15" s="1"/>
  <c r="Z156" i="15"/>
  <c r="AD193" i="15"/>
  <c r="AD194" i="15" s="1"/>
  <c r="AD68" i="15"/>
  <c r="AD82" i="15" s="1"/>
  <c r="Z82" i="15"/>
  <c r="Z157" i="15"/>
  <c r="AD157" i="15" s="1"/>
  <c r="Z170" i="15"/>
  <c r="AD170" i="15" s="1"/>
  <c r="Z129" i="15"/>
  <c r="AD129" i="15" s="1"/>
  <c r="Z65" i="15"/>
  <c r="AA159" i="15"/>
  <c r="AD153" i="15"/>
  <c r="AD144" i="15"/>
  <c r="AD149" i="15" s="1"/>
  <c r="Z149" i="15"/>
  <c r="AD110" i="15"/>
  <c r="AV65" i="15" l="1"/>
  <c r="Z127" i="15"/>
  <c r="Z111" i="15"/>
  <c r="AA209" i="15"/>
  <c r="AA218" i="15" s="1"/>
  <c r="Z194" i="15"/>
  <c r="AD156" i="15"/>
  <c r="AD159" i="15" s="1"/>
  <c r="Z159" i="15"/>
  <c r="Z222" i="15"/>
  <c r="AD111" i="15"/>
  <c r="AD116" i="15" s="1"/>
  <c r="Z171" i="15"/>
  <c r="AD171" i="15"/>
  <c r="Z116" i="15" l="1"/>
  <c r="AD127" i="15"/>
  <c r="AD132" i="15" s="1"/>
  <c r="AD209" i="15" s="1"/>
  <c r="AD218" i="15" s="1"/>
  <c r="Z132" i="15"/>
  <c r="Z209" i="15" s="1"/>
  <c r="Z218" i="15" s="1"/>
  <c r="N206" i="15" l="1"/>
  <c r="R206" i="15" s="1"/>
  <c r="N205" i="15"/>
  <c r="N203" i="15"/>
  <c r="N202" i="15"/>
  <c r="N201" i="15"/>
  <c r="N200" i="15"/>
  <c r="N199" i="15"/>
  <c r="N198" i="15"/>
  <c r="N197" i="15"/>
  <c r="N188" i="15"/>
  <c r="R188" i="15" s="1"/>
  <c r="N185" i="15"/>
  <c r="R185" i="15" s="1"/>
  <c r="N184" i="15"/>
  <c r="R184" i="15" s="1"/>
  <c r="N183" i="15"/>
  <c r="N182" i="15"/>
  <c r="N179" i="15"/>
  <c r="N177" i="15"/>
  <c r="N176" i="15"/>
  <c r="R176" i="15" s="1"/>
  <c r="N175" i="15"/>
  <c r="R175" i="15" s="1"/>
  <c r="N174" i="15"/>
  <c r="R174" i="15" s="1"/>
  <c r="N167" i="15"/>
  <c r="R167" i="15" s="1"/>
  <c r="N166" i="15"/>
  <c r="R166" i="15" s="1"/>
  <c r="N165" i="15"/>
  <c r="R165" i="15" s="1"/>
  <c r="N163" i="15"/>
  <c r="N152" i="15"/>
  <c r="O140" i="15"/>
  <c r="O141" i="15" s="1"/>
  <c r="N135" i="15"/>
  <c r="R135" i="15" s="1"/>
  <c r="N124" i="15"/>
  <c r="R124" i="15" s="1"/>
  <c r="N123" i="15"/>
  <c r="R123" i="15" s="1"/>
  <c r="O123" i="15"/>
  <c r="O122" i="15"/>
  <c r="N120" i="15"/>
  <c r="N119" i="15"/>
  <c r="Q110" i="15"/>
  <c r="N108" i="15"/>
  <c r="R108" i="15" s="1"/>
  <c r="N107" i="15"/>
  <c r="O106" i="15"/>
  <c r="O105" i="15"/>
  <c r="O104" i="15"/>
  <c r="P102" i="15"/>
  <c r="N101" i="15"/>
  <c r="N100" i="15"/>
  <c r="N99" i="15"/>
  <c r="N98" i="15"/>
  <c r="N95" i="15"/>
  <c r="N94" i="15"/>
  <c r="R94" i="15" s="1"/>
  <c r="N93" i="15"/>
  <c r="R93" i="15" s="1"/>
  <c r="P181" i="15"/>
  <c r="P194" i="15" s="1"/>
  <c r="P180" i="15"/>
  <c r="P81" i="15"/>
  <c r="R81" i="15" s="1"/>
  <c r="P80" i="15"/>
  <c r="P82" i="15" s="1"/>
  <c r="O74" i="15"/>
  <c r="R220" i="15"/>
  <c r="Q220" i="15"/>
  <c r="P220" i="15"/>
  <c r="O220" i="15"/>
  <c r="N220" i="15"/>
  <c r="R216" i="15"/>
  <c r="Q216" i="15"/>
  <c r="P216" i="15"/>
  <c r="O216" i="15"/>
  <c r="N216" i="15"/>
  <c r="R215" i="15"/>
  <c r="R214" i="15"/>
  <c r="R213" i="15"/>
  <c r="R212" i="15"/>
  <c r="Q207" i="15"/>
  <c r="P207" i="15"/>
  <c r="O207" i="15"/>
  <c r="R205" i="15"/>
  <c r="R204" i="15"/>
  <c r="R203" i="15"/>
  <c r="R202" i="15"/>
  <c r="R201" i="15"/>
  <c r="R200" i="15"/>
  <c r="R199" i="15"/>
  <c r="R198" i="15"/>
  <c r="R197" i="15"/>
  <c r="Q194" i="15"/>
  <c r="O194" i="15"/>
  <c r="R192" i="15"/>
  <c r="R191" i="15"/>
  <c r="R190" i="15"/>
  <c r="R189" i="15"/>
  <c r="R187" i="15"/>
  <c r="R186" i="15"/>
  <c r="R183" i="15"/>
  <c r="R182" i="15"/>
  <c r="R181" i="15"/>
  <c r="R180" i="15"/>
  <c r="R179" i="15"/>
  <c r="Q171" i="15"/>
  <c r="P171" i="15"/>
  <c r="O171" i="15"/>
  <c r="R169" i="15"/>
  <c r="R163" i="15"/>
  <c r="N162" i="15"/>
  <c r="R162" i="15" s="1"/>
  <c r="R158" i="15"/>
  <c r="R155" i="15"/>
  <c r="Q154" i="15"/>
  <c r="Q159" i="15" s="1"/>
  <c r="P154" i="15"/>
  <c r="P159" i="15" s="1"/>
  <c r="R152" i="15"/>
  <c r="Q149" i="15"/>
  <c r="P149" i="15"/>
  <c r="O149" i="15"/>
  <c r="R147" i="15"/>
  <c r="Q141" i="15"/>
  <c r="P141" i="15"/>
  <c r="R137" i="15"/>
  <c r="R136" i="15"/>
  <c r="R131" i="15"/>
  <c r="R130" i="15"/>
  <c r="Q129" i="15"/>
  <c r="P129" i="15"/>
  <c r="Q128" i="15"/>
  <c r="Q125" i="15"/>
  <c r="Q126" i="15" s="1"/>
  <c r="P125" i="15"/>
  <c r="Q123" i="15"/>
  <c r="R120" i="15"/>
  <c r="R115" i="15"/>
  <c r="R114" i="15"/>
  <c r="Q112" i="15"/>
  <c r="P112" i="15"/>
  <c r="O112" i="15"/>
  <c r="N112" i="15"/>
  <c r="R112" i="15" s="1"/>
  <c r="Q109" i="15"/>
  <c r="R107" i="15"/>
  <c r="R106" i="15"/>
  <c r="R105" i="15"/>
  <c r="R104" i="15"/>
  <c r="R103" i="15"/>
  <c r="P109" i="15"/>
  <c r="P110" i="15" s="1"/>
  <c r="R101" i="15"/>
  <c r="R100" i="15"/>
  <c r="R99" i="15"/>
  <c r="R98" i="15"/>
  <c r="R97" i="15"/>
  <c r="R96" i="15"/>
  <c r="Q88" i="15"/>
  <c r="P88" i="15"/>
  <c r="O88" i="15"/>
  <c r="N88" i="15"/>
  <c r="R87" i="15"/>
  <c r="R86" i="15"/>
  <c r="R85" i="15"/>
  <c r="Q82" i="15"/>
  <c r="R79" i="15"/>
  <c r="R78" i="15"/>
  <c r="R77" i="15"/>
  <c r="R76" i="15"/>
  <c r="R75" i="15"/>
  <c r="R74" i="15"/>
  <c r="R73" i="15"/>
  <c r="R72" i="15"/>
  <c r="N71" i="15"/>
  <c r="R71" i="15" s="1"/>
  <c r="R70" i="15"/>
  <c r="N70" i="15"/>
  <c r="R67" i="15"/>
  <c r="R84" i="15" s="1"/>
  <c r="R91" i="15" s="1"/>
  <c r="R118" i="15" s="1"/>
  <c r="R134" i="15" s="1"/>
  <c r="Q67" i="15"/>
  <c r="Q84" i="15" s="1"/>
  <c r="Q91" i="15" s="1"/>
  <c r="Q118" i="15" s="1"/>
  <c r="Q134" i="15" s="1"/>
  <c r="O64" i="15"/>
  <c r="O113" i="15" s="1"/>
  <c r="Q63" i="15"/>
  <c r="P63" i="15"/>
  <c r="O63" i="15"/>
  <c r="O129" i="15" s="1"/>
  <c r="N63" i="15"/>
  <c r="N129" i="15" s="1"/>
  <c r="R129" i="15" s="1"/>
  <c r="Q61" i="15"/>
  <c r="Q64" i="15" s="1"/>
  <c r="P61" i="15"/>
  <c r="P64" i="15" s="1"/>
  <c r="O61" i="15"/>
  <c r="N61" i="15"/>
  <c r="N64" i="15" s="1"/>
  <c r="N113" i="15" s="1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Q38" i="15"/>
  <c r="Q36" i="15"/>
  <c r="P36" i="15"/>
  <c r="P128" i="15" s="1"/>
  <c r="O36" i="15"/>
  <c r="O128" i="15" s="1"/>
  <c r="N36" i="15"/>
  <c r="N128" i="15" s="1"/>
  <c r="R35" i="15"/>
  <c r="R34" i="15"/>
  <c r="R33" i="15"/>
  <c r="R32" i="15"/>
  <c r="R31" i="15"/>
  <c r="R30" i="15"/>
  <c r="R29" i="15"/>
  <c r="R28" i="15"/>
  <c r="R27" i="15"/>
  <c r="R26" i="15"/>
  <c r="Q26" i="15"/>
  <c r="R25" i="15"/>
  <c r="R24" i="15"/>
  <c r="R23" i="15"/>
  <c r="R22" i="15"/>
  <c r="R21" i="15"/>
  <c r="O17" i="15"/>
  <c r="N13" i="15"/>
  <c r="N3" i="15" s="1"/>
  <c r="N12" i="15"/>
  <c r="N11" i="15"/>
  <c r="N10" i="15"/>
  <c r="N9" i="15"/>
  <c r="N4" i="15"/>
  <c r="N2" i="15"/>
  <c r="N69" i="15" s="1"/>
  <c r="R69" i="15" s="1"/>
  <c r="H206" i="15"/>
  <c r="L206" i="15" s="1"/>
  <c r="H205" i="15"/>
  <c r="L205" i="15" s="1"/>
  <c r="H203" i="15"/>
  <c r="L203" i="15" s="1"/>
  <c r="H202" i="15"/>
  <c r="L202" i="15" s="1"/>
  <c r="H201" i="15"/>
  <c r="L201" i="15" s="1"/>
  <c r="H200" i="15"/>
  <c r="H199" i="15"/>
  <c r="H197" i="15"/>
  <c r="H185" i="15"/>
  <c r="H184" i="15"/>
  <c r="H183" i="15"/>
  <c r="H182" i="15"/>
  <c r="L182" i="15" s="1"/>
  <c r="H179" i="15"/>
  <c r="L179" i="15" s="1"/>
  <c r="H178" i="15"/>
  <c r="H177" i="15"/>
  <c r="L177" i="15" s="1"/>
  <c r="H176" i="15"/>
  <c r="L176" i="15" s="1"/>
  <c r="H175" i="15"/>
  <c r="L175" i="15" s="1"/>
  <c r="H174" i="15"/>
  <c r="H167" i="15"/>
  <c r="H166" i="15"/>
  <c r="L166" i="15" s="1"/>
  <c r="H165" i="15"/>
  <c r="L165" i="15" s="1"/>
  <c r="H164" i="15"/>
  <c r="H156" i="15"/>
  <c r="I154" i="15"/>
  <c r="H154" i="15"/>
  <c r="I153" i="15"/>
  <c r="H152" i="15"/>
  <c r="H144" i="15"/>
  <c r="I140" i="15"/>
  <c r="I141" i="15" s="1"/>
  <c r="H139" i="15"/>
  <c r="H138" i="15"/>
  <c r="L138" i="15" s="1"/>
  <c r="H135" i="15"/>
  <c r="H141" i="15" s="1"/>
  <c r="H124" i="15"/>
  <c r="L124" i="15" s="1"/>
  <c r="H123" i="15"/>
  <c r="AR123" i="15" s="1"/>
  <c r="AR125" i="15" s="1"/>
  <c r="I123" i="15"/>
  <c r="I122" i="15"/>
  <c r="H120" i="15"/>
  <c r="H119" i="15"/>
  <c r="H108" i="15"/>
  <c r="I106" i="15"/>
  <c r="I105" i="15"/>
  <c r="I104" i="15"/>
  <c r="I109" i="15" s="1"/>
  <c r="I110" i="15" s="1"/>
  <c r="J102" i="15"/>
  <c r="L102" i="15" s="1"/>
  <c r="H101" i="15"/>
  <c r="L101" i="15" s="1"/>
  <c r="H99" i="15"/>
  <c r="L99" i="15" s="1"/>
  <c r="H98" i="15"/>
  <c r="H96" i="15"/>
  <c r="H95" i="15"/>
  <c r="H94" i="15"/>
  <c r="H93" i="15"/>
  <c r="J181" i="15"/>
  <c r="L181" i="15" s="1"/>
  <c r="J180" i="15"/>
  <c r="L180" i="15" s="1"/>
  <c r="J81" i="15"/>
  <c r="L81" i="15" s="1"/>
  <c r="J80" i="15"/>
  <c r="J82" i="15" s="1"/>
  <c r="I74" i="15"/>
  <c r="L74" i="15" s="1"/>
  <c r="L220" i="15"/>
  <c r="K220" i="15"/>
  <c r="J220" i="15"/>
  <c r="I220" i="15"/>
  <c r="H220" i="15"/>
  <c r="K216" i="15"/>
  <c r="J216" i="15"/>
  <c r="I216" i="15"/>
  <c r="H216" i="15"/>
  <c r="L215" i="15"/>
  <c r="L214" i="15"/>
  <c r="L213" i="15"/>
  <c r="L212" i="15"/>
  <c r="L216" i="15" s="1"/>
  <c r="K207" i="15"/>
  <c r="J207" i="15"/>
  <c r="I207" i="15"/>
  <c r="L204" i="15"/>
  <c r="L200" i="15"/>
  <c r="L199" i="15"/>
  <c r="L198" i="15"/>
  <c r="L197" i="15"/>
  <c r="K194" i="15"/>
  <c r="I194" i="15"/>
  <c r="L192" i="15"/>
  <c r="L191" i="15"/>
  <c r="L190" i="15"/>
  <c r="L189" i="15"/>
  <c r="L188" i="15"/>
  <c r="L187" i="15"/>
  <c r="L186" i="15"/>
  <c r="L185" i="15"/>
  <c r="L184" i="15"/>
  <c r="L183" i="15"/>
  <c r="L174" i="15"/>
  <c r="K171" i="15"/>
  <c r="J171" i="15"/>
  <c r="I171" i="15"/>
  <c r="L169" i="15"/>
  <c r="L167" i="15"/>
  <c r="L163" i="15"/>
  <c r="H162" i="15"/>
  <c r="L158" i="15"/>
  <c r="L155" i="15"/>
  <c r="K149" i="15"/>
  <c r="J149" i="15"/>
  <c r="I149" i="15"/>
  <c r="L147" i="15"/>
  <c r="K141" i="15"/>
  <c r="J141" i="15"/>
  <c r="L140" i="15"/>
  <c r="L139" i="15"/>
  <c r="L137" i="15"/>
  <c r="L136" i="15"/>
  <c r="L135" i="15"/>
  <c r="L131" i="15"/>
  <c r="L130" i="15"/>
  <c r="J125" i="15"/>
  <c r="J126" i="15" s="1"/>
  <c r="K123" i="15"/>
  <c r="K125" i="15" s="1"/>
  <c r="K126" i="15" s="1"/>
  <c r="L123" i="15"/>
  <c r="L122" i="15"/>
  <c r="L120" i="15"/>
  <c r="L115" i="15"/>
  <c r="L114" i="15"/>
  <c r="K112" i="15"/>
  <c r="J112" i="15"/>
  <c r="I112" i="15"/>
  <c r="H112" i="15"/>
  <c r="L112" i="15" s="1"/>
  <c r="K109" i="15"/>
  <c r="K110" i="15" s="1"/>
  <c r="L108" i="15"/>
  <c r="L107" i="15"/>
  <c r="L106" i="15"/>
  <c r="L105" i="15"/>
  <c r="L104" i="15"/>
  <c r="L103" i="15"/>
  <c r="L100" i="15"/>
  <c r="L97" i="15"/>
  <c r="L96" i="15"/>
  <c r="L95" i="15"/>
  <c r="L94" i="15"/>
  <c r="L88" i="15"/>
  <c r="K88" i="15"/>
  <c r="J88" i="15"/>
  <c r="I88" i="15"/>
  <c r="H88" i="15"/>
  <c r="K82" i="15"/>
  <c r="L79" i="15"/>
  <c r="L78" i="15"/>
  <c r="L77" i="15"/>
  <c r="L76" i="15"/>
  <c r="L75" i="15"/>
  <c r="L73" i="15"/>
  <c r="L72" i="15"/>
  <c r="H71" i="15"/>
  <c r="L71" i="15" s="1"/>
  <c r="H70" i="15"/>
  <c r="L70" i="15" s="1"/>
  <c r="H68" i="15"/>
  <c r="H82" i="15" s="1"/>
  <c r="L67" i="15"/>
  <c r="L84" i="15" s="1"/>
  <c r="L91" i="15" s="1"/>
  <c r="L118" i="15" s="1"/>
  <c r="L134" i="15" s="1"/>
  <c r="K67" i="15"/>
  <c r="K84" i="15" s="1"/>
  <c r="K91" i="15" s="1"/>
  <c r="K118" i="15" s="1"/>
  <c r="K134" i="15" s="1"/>
  <c r="I64" i="15"/>
  <c r="I113" i="15" s="1"/>
  <c r="K61" i="15"/>
  <c r="K64" i="15" s="1"/>
  <c r="J61" i="15"/>
  <c r="J64" i="15" s="1"/>
  <c r="I61" i="15"/>
  <c r="H61" i="15"/>
  <c r="H64" i="15" s="1"/>
  <c r="H113" i="15" s="1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K38" i="15"/>
  <c r="K36" i="15"/>
  <c r="K128" i="15" s="1"/>
  <c r="J36" i="15"/>
  <c r="J63" i="15" s="1"/>
  <c r="I36" i="15"/>
  <c r="I63" i="15" s="1"/>
  <c r="H36" i="15"/>
  <c r="H128" i="15" s="1"/>
  <c r="AR128" i="15" s="1"/>
  <c r="L35" i="15"/>
  <c r="L34" i="15"/>
  <c r="L33" i="15"/>
  <c r="L32" i="15"/>
  <c r="L31" i="15"/>
  <c r="L30" i="15"/>
  <c r="L29" i="15"/>
  <c r="L28" i="15"/>
  <c r="L27" i="15"/>
  <c r="L26" i="15"/>
  <c r="K26" i="15"/>
  <c r="L25" i="15"/>
  <c r="L24" i="15"/>
  <c r="L23" i="15"/>
  <c r="L22" i="15"/>
  <c r="L21" i="15"/>
  <c r="I17" i="15"/>
  <c r="H17" i="15"/>
  <c r="H3" i="15"/>
  <c r="H2" i="15"/>
  <c r="H69" i="15" s="1"/>
  <c r="L69" i="15" s="1"/>
  <c r="B206" i="15"/>
  <c r="B205" i="15"/>
  <c r="F205" i="15" s="1"/>
  <c r="B203" i="15"/>
  <c r="F203" i="15" s="1"/>
  <c r="B202" i="15"/>
  <c r="F202" i="15" s="1"/>
  <c r="B201" i="15"/>
  <c r="F201" i="15" s="1"/>
  <c r="B200" i="15"/>
  <c r="F200" i="15" s="1"/>
  <c r="B199" i="15"/>
  <c r="B197" i="15"/>
  <c r="B185" i="15"/>
  <c r="B184" i="15"/>
  <c r="B183" i="15"/>
  <c r="B182" i="15"/>
  <c r="D181" i="15"/>
  <c r="D180" i="15"/>
  <c r="D81" i="15"/>
  <c r="F81" i="15" s="1"/>
  <c r="D80" i="15"/>
  <c r="B179" i="15"/>
  <c r="B177" i="15"/>
  <c r="B176" i="15"/>
  <c r="F176" i="15" s="1"/>
  <c r="B175" i="15"/>
  <c r="F175" i="15" s="1"/>
  <c r="B174" i="15"/>
  <c r="F174" i="15" s="1"/>
  <c r="B167" i="15"/>
  <c r="B166" i="15"/>
  <c r="B165" i="15"/>
  <c r="B164" i="15"/>
  <c r="B154" i="15"/>
  <c r="B152" i="15"/>
  <c r="C140" i="15"/>
  <c r="F140" i="15" s="1"/>
  <c r="B139" i="15"/>
  <c r="B138" i="15"/>
  <c r="B135" i="15"/>
  <c r="F135" i="15" s="1"/>
  <c r="B124" i="15"/>
  <c r="B123" i="15"/>
  <c r="C123" i="15"/>
  <c r="C122" i="15"/>
  <c r="B121" i="15"/>
  <c r="B120" i="15"/>
  <c r="B119" i="15"/>
  <c r="B125" i="15" s="1"/>
  <c r="B126" i="15" s="1"/>
  <c r="B108" i="15"/>
  <c r="F108" i="15" s="1"/>
  <c r="C106" i="15"/>
  <c r="F106" i="15" s="1"/>
  <c r="C105" i="15"/>
  <c r="F105" i="15" s="1"/>
  <c r="C104" i="15"/>
  <c r="F104" i="15" s="1"/>
  <c r="D102" i="15"/>
  <c r="D109" i="15" s="1"/>
  <c r="D110" i="15" s="1"/>
  <c r="B101" i="15"/>
  <c r="F101" i="15" s="1"/>
  <c r="B99" i="15"/>
  <c r="F99" i="15" s="1"/>
  <c r="B98" i="15"/>
  <c r="B96" i="15"/>
  <c r="B95" i="15"/>
  <c r="B94" i="15"/>
  <c r="F94" i="15" s="1"/>
  <c r="B93" i="15"/>
  <c r="C74" i="15"/>
  <c r="C82" i="15" s="1"/>
  <c r="F220" i="15"/>
  <c r="E220" i="15"/>
  <c r="D220" i="15"/>
  <c r="C220" i="15"/>
  <c r="B220" i="15"/>
  <c r="F216" i="15"/>
  <c r="E216" i="15"/>
  <c r="D216" i="15"/>
  <c r="C216" i="15"/>
  <c r="B216" i="15"/>
  <c r="F215" i="15"/>
  <c r="F214" i="15"/>
  <c r="F213" i="15"/>
  <c r="F212" i="15"/>
  <c r="E207" i="15"/>
  <c r="D207" i="15"/>
  <c r="C207" i="15"/>
  <c r="F206" i="15"/>
  <c r="F204" i="15"/>
  <c r="F199" i="15"/>
  <c r="F198" i="15"/>
  <c r="E194" i="15"/>
  <c r="C194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7" i="15"/>
  <c r="E171" i="15"/>
  <c r="D171" i="15"/>
  <c r="C171" i="15"/>
  <c r="F169" i="15"/>
  <c r="F167" i="15"/>
  <c r="F166" i="15"/>
  <c r="F165" i="15"/>
  <c r="F163" i="15"/>
  <c r="B162" i="15"/>
  <c r="F162" i="15" s="1"/>
  <c r="F158" i="15"/>
  <c r="F155" i="15"/>
  <c r="F152" i="15"/>
  <c r="E149" i="15"/>
  <c r="D149" i="15"/>
  <c r="C149" i="15"/>
  <c r="F147" i="15"/>
  <c r="E141" i="15"/>
  <c r="D141" i="15"/>
  <c r="C141" i="15"/>
  <c r="F137" i="15"/>
  <c r="F136" i="15"/>
  <c r="F131" i="15"/>
  <c r="F130" i="15"/>
  <c r="B128" i="15"/>
  <c r="D125" i="15"/>
  <c r="D126" i="15" s="1"/>
  <c r="E123" i="15"/>
  <c r="E125" i="15" s="1"/>
  <c r="E126" i="15" s="1"/>
  <c r="F123" i="15"/>
  <c r="F122" i="15"/>
  <c r="F120" i="15"/>
  <c r="F115" i="15"/>
  <c r="F114" i="15"/>
  <c r="E112" i="15"/>
  <c r="D112" i="15"/>
  <c r="C112" i="15"/>
  <c r="B112" i="15"/>
  <c r="F112" i="15" s="1"/>
  <c r="E109" i="15"/>
  <c r="E110" i="15" s="1"/>
  <c r="F107" i="15"/>
  <c r="F103" i="15"/>
  <c r="F100" i="15"/>
  <c r="F98" i="15"/>
  <c r="F97" i="15"/>
  <c r="F96" i="15"/>
  <c r="F95" i="15"/>
  <c r="F88" i="15"/>
  <c r="E88" i="15"/>
  <c r="D88" i="15"/>
  <c r="C88" i="15"/>
  <c r="B88" i="15"/>
  <c r="E82" i="15"/>
  <c r="F79" i="15"/>
  <c r="F78" i="15"/>
  <c r="F77" i="15"/>
  <c r="F76" i="15"/>
  <c r="F75" i="15"/>
  <c r="F73" i="15"/>
  <c r="F72" i="15"/>
  <c r="B71" i="15"/>
  <c r="F71" i="15" s="1"/>
  <c r="B70" i="15"/>
  <c r="F70" i="15" s="1"/>
  <c r="B69" i="15"/>
  <c r="F69" i="15" s="1"/>
  <c r="B68" i="15"/>
  <c r="F67" i="15"/>
  <c r="F84" i="15" s="1"/>
  <c r="F91" i="15" s="1"/>
  <c r="F118" i="15" s="1"/>
  <c r="F134" i="15" s="1"/>
  <c r="E67" i="15"/>
  <c r="E84" i="15" s="1"/>
  <c r="E91" i="15" s="1"/>
  <c r="E118" i="15" s="1"/>
  <c r="E134" i="15" s="1"/>
  <c r="B63" i="15"/>
  <c r="E61" i="15"/>
  <c r="E64" i="15" s="1"/>
  <c r="E113" i="15" s="1"/>
  <c r="D61" i="15"/>
  <c r="D64" i="15" s="1"/>
  <c r="D113" i="15" s="1"/>
  <c r="C61" i="15"/>
  <c r="C64" i="15" s="1"/>
  <c r="B61" i="15"/>
  <c r="B64" i="15" s="1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E38" i="15"/>
  <c r="E36" i="15"/>
  <c r="D36" i="15"/>
  <c r="C36" i="15"/>
  <c r="C154" i="15" s="1"/>
  <c r="B36" i="15"/>
  <c r="F35" i="15"/>
  <c r="F34" i="15"/>
  <c r="F33" i="15"/>
  <c r="F32" i="15"/>
  <c r="F31" i="15"/>
  <c r="F30" i="15"/>
  <c r="F29" i="15"/>
  <c r="F28" i="15"/>
  <c r="F27" i="15"/>
  <c r="F36" i="15" s="1"/>
  <c r="F63" i="15" s="1"/>
  <c r="F26" i="15"/>
  <c r="E26" i="15"/>
  <c r="F25" i="15"/>
  <c r="F24" i="15"/>
  <c r="F23" i="15"/>
  <c r="F22" i="15"/>
  <c r="F21" i="15"/>
  <c r="C17" i="15"/>
  <c r="B17" i="15"/>
  <c r="B3" i="15"/>
  <c r="AR197" i="10"/>
  <c r="T193" i="9"/>
  <c r="AG127" i="9"/>
  <c r="AF127" i="9"/>
  <c r="AH126" i="9"/>
  <c r="AG126" i="9"/>
  <c r="AF126" i="9"/>
  <c r="AI111" i="9"/>
  <c r="AH111" i="9"/>
  <c r="AF111" i="9"/>
  <c r="AI110" i="9"/>
  <c r="AH110" i="9"/>
  <c r="AG110" i="9"/>
  <c r="AF110" i="9"/>
  <c r="AV220" i="10"/>
  <c r="AU220" i="10"/>
  <c r="AT220" i="10"/>
  <c r="AS220" i="10"/>
  <c r="AR220" i="10"/>
  <c r="AU216" i="10"/>
  <c r="AU215" i="10"/>
  <c r="AT215" i="10"/>
  <c r="AS215" i="10"/>
  <c r="AR215" i="10"/>
  <c r="AV215" i="10" s="1"/>
  <c r="AU214" i="10"/>
  <c r="AT214" i="10"/>
  <c r="AS214" i="10"/>
  <c r="AV214" i="10" s="1"/>
  <c r="AR214" i="10"/>
  <c r="AU213" i="10"/>
  <c r="AT213" i="10"/>
  <c r="AV213" i="10" s="1"/>
  <c r="AS213" i="10"/>
  <c r="AR213" i="10"/>
  <c r="AU212" i="10"/>
  <c r="AT212" i="10"/>
  <c r="AT216" i="10" s="1"/>
  <c r="AS212" i="10"/>
  <c r="AS216" i="10" s="1"/>
  <c r="AR212" i="10"/>
  <c r="AU206" i="10"/>
  <c r="AT206" i="10"/>
  <c r="AV206" i="10" s="1"/>
  <c r="AS206" i="10"/>
  <c r="AR206" i="10"/>
  <c r="AU205" i="10"/>
  <c r="AT205" i="10"/>
  <c r="AS205" i="10"/>
  <c r="AR205" i="10"/>
  <c r="AV205" i="10" s="1"/>
  <c r="AU204" i="10"/>
  <c r="AT204" i="10"/>
  <c r="AS204" i="10"/>
  <c r="AR204" i="10"/>
  <c r="AV204" i="10" s="1"/>
  <c r="AU203" i="10"/>
  <c r="AT203" i="10"/>
  <c r="AS203" i="10"/>
  <c r="AV203" i="10" s="1"/>
  <c r="AR203" i="10"/>
  <c r="AU202" i="10"/>
  <c r="AT202" i="10"/>
  <c r="AS202" i="10"/>
  <c r="AR202" i="10"/>
  <c r="AV202" i="10" s="1"/>
  <c r="AU201" i="10"/>
  <c r="AV201" i="10" s="1"/>
  <c r="AT201" i="10"/>
  <c r="AS201" i="10"/>
  <c r="AR201" i="10"/>
  <c r="AU200" i="10"/>
  <c r="AT200" i="10"/>
  <c r="AS200" i="10"/>
  <c r="AR200" i="10"/>
  <c r="AV200" i="10" s="1"/>
  <c r="AU199" i="10"/>
  <c r="AT199" i="10"/>
  <c r="AS199" i="10"/>
  <c r="AV199" i="10" s="1"/>
  <c r="AR199" i="10"/>
  <c r="AU198" i="10"/>
  <c r="AT198" i="10"/>
  <c r="AV198" i="10" s="1"/>
  <c r="AS198" i="10"/>
  <c r="AR198" i="10"/>
  <c r="AU197" i="10"/>
  <c r="AT197" i="10"/>
  <c r="AS197" i="10"/>
  <c r="AU193" i="10"/>
  <c r="AT193" i="10"/>
  <c r="AS193" i="10"/>
  <c r="AR193" i="10"/>
  <c r="AV193" i="10" s="1"/>
  <c r="AV192" i="10"/>
  <c r="AU192" i="10"/>
  <c r="AT192" i="10"/>
  <c r="AS192" i="10"/>
  <c r="AR192" i="10"/>
  <c r="AU191" i="10"/>
  <c r="AT191" i="10"/>
  <c r="AS191" i="10"/>
  <c r="AR191" i="10"/>
  <c r="AV191" i="10" s="1"/>
  <c r="AU190" i="10"/>
  <c r="AT190" i="10"/>
  <c r="AV190" i="10" s="1"/>
  <c r="AS190" i="10"/>
  <c r="AR190" i="10"/>
  <c r="AU189" i="10"/>
  <c r="AT189" i="10"/>
  <c r="AS189" i="10"/>
  <c r="AR189" i="10"/>
  <c r="AV189" i="10" s="1"/>
  <c r="AU188" i="10"/>
  <c r="AT188" i="10"/>
  <c r="AS188" i="10"/>
  <c r="AR188" i="10"/>
  <c r="AV188" i="10" s="1"/>
  <c r="AU187" i="10"/>
  <c r="AT187" i="10"/>
  <c r="AS187" i="10"/>
  <c r="AV187" i="10" s="1"/>
  <c r="AR187" i="10"/>
  <c r="AU186" i="10"/>
  <c r="AT186" i="10"/>
  <c r="AS186" i="10"/>
  <c r="AR186" i="10"/>
  <c r="AV186" i="10" s="1"/>
  <c r="AV185" i="10"/>
  <c r="AU185" i="10"/>
  <c r="AT185" i="10"/>
  <c r="AS185" i="10"/>
  <c r="AR185" i="10"/>
  <c r="AU184" i="10"/>
  <c r="AT184" i="10"/>
  <c r="AS184" i="10"/>
  <c r="AR184" i="10"/>
  <c r="AV184" i="10" s="1"/>
  <c r="AU183" i="10"/>
  <c r="AT183" i="10"/>
  <c r="AS183" i="10"/>
  <c r="AV183" i="10" s="1"/>
  <c r="AR183" i="10"/>
  <c r="AU182" i="10"/>
  <c r="AT182" i="10"/>
  <c r="AV182" i="10" s="1"/>
  <c r="AS182" i="10"/>
  <c r="AR182" i="10"/>
  <c r="AU181" i="10"/>
  <c r="AT181" i="10"/>
  <c r="AS181" i="10"/>
  <c r="AR181" i="10"/>
  <c r="AV181" i="10" s="1"/>
  <c r="AV180" i="10"/>
  <c r="AU180" i="10"/>
  <c r="AT180" i="10"/>
  <c r="AS180" i="10"/>
  <c r="AR180" i="10"/>
  <c r="AU179" i="10"/>
  <c r="AT179" i="10"/>
  <c r="AS179" i="10"/>
  <c r="AR179" i="10"/>
  <c r="AV179" i="10" s="1"/>
  <c r="AU178" i="10"/>
  <c r="AV178" i="10" s="1"/>
  <c r="AT178" i="10"/>
  <c r="AS178" i="10"/>
  <c r="AR178" i="10"/>
  <c r="AU177" i="10"/>
  <c r="AT177" i="10"/>
  <c r="AS177" i="10"/>
  <c r="AR177" i="10"/>
  <c r="AV177" i="10" s="1"/>
  <c r="AU176" i="10"/>
  <c r="AT176" i="10"/>
  <c r="AS176" i="10"/>
  <c r="AR176" i="10"/>
  <c r="AV176" i="10" s="1"/>
  <c r="AU175" i="10"/>
  <c r="AT175" i="10"/>
  <c r="AS175" i="10"/>
  <c r="AV175" i="10" s="1"/>
  <c r="AR175" i="10"/>
  <c r="AU174" i="10"/>
  <c r="AT174" i="10"/>
  <c r="AS174" i="10"/>
  <c r="AR174" i="10"/>
  <c r="AU170" i="10"/>
  <c r="AT170" i="10"/>
  <c r="AS170" i="10"/>
  <c r="AR170" i="10"/>
  <c r="AV170" i="10" s="1"/>
  <c r="AV169" i="10"/>
  <c r="AU169" i="10"/>
  <c r="AT169" i="10"/>
  <c r="AS169" i="10"/>
  <c r="AR169" i="10"/>
  <c r="AU168" i="10"/>
  <c r="AT168" i="10"/>
  <c r="AS168" i="10"/>
  <c r="AR168" i="10"/>
  <c r="AV168" i="10" s="1"/>
  <c r="AU167" i="10"/>
  <c r="AT167" i="10"/>
  <c r="AS167" i="10"/>
  <c r="AR167" i="10"/>
  <c r="AU166" i="10"/>
  <c r="AT166" i="10"/>
  <c r="AV166" i="10" s="1"/>
  <c r="AS166" i="10"/>
  <c r="AR166" i="10"/>
  <c r="AU165" i="10"/>
  <c r="AT165" i="10"/>
  <c r="AS165" i="10"/>
  <c r="AR165" i="10"/>
  <c r="AV165" i="10" s="1"/>
  <c r="AV164" i="10"/>
  <c r="AU164" i="10"/>
  <c r="AT164" i="10"/>
  <c r="AS164" i="10"/>
  <c r="AR164" i="10"/>
  <c r="AU163" i="10"/>
  <c r="AT163" i="10"/>
  <c r="AS163" i="10"/>
  <c r="AR163" i="10"/>
  <c r="AV163" i="10" s="1"/>
  <c r="AU162" i="10"/>
  <c r="AU171" i="10" s="1"/>
  <c r="AT162" i="10"/>
  <c r="AS162" i="10"/>
  <c r="AR162" i="10"/>
  <c r="AR171" i="10" s="1"/>
  <c r="AU158" i="10"/>
  <c r="AT158" i="10"/>
  <c r="AS158" i="10"/>
  <c r="AR158" i="10"/>
  <c r="AU157" i="10"/>
  <c r="AT157" i="10"/>
  <c r="AS157" i="10"/>
  <c r="AR157" i="10"/>
  <c r="AV157" i="10" s="1"/>
  <c r="AU156" i="10"/>
  <c r="AT156" i="10"/>
  <c r="AS156" i="10"/>
  <c r="AR156" i="10"/>
  <c r="AV156" i="10" s="1"/>
  <c r="AU155" i="10"/>
  <c r="AT155" i="10"/>
  <c r="AS155" i="10"/>
  <c r="AV155" i="10" s="1"/>
  <c r="AR155" i="10"/>
  <c r="AU154" i="10"/>
  <c r="AT154" i="10"/>
  <c r="AS154" i="10"/>
  <c r="AR154" i="10"/>
  <c r="AU153" i="10"/>
  <c r="AV153" i="10" s="1"/>
  <c r="AT153" i="10"/>
  <c r="AS153" i="10"/>
  <c r="AR153" i="10"/>
  <c r="AU152" i="10"/>
  <c r="AT152" i="10"/>
  <c r="AS152" i="10"/>
  <c r="AR152" i="10"/>
  <c r="AV152" i="10" s="1"/>
  <c r="AU148" i="10"/>
  <c r="AT148" i="10"/>
  <c r="AS148" i="10"/>
  <c r="AR148" i="10"/>
  <c r="AV148" i="10" s="1"/>
  <c r="AU147" i="10"/>
  <c r="AU149" i="10" s="1"/>
  <c r="AT147" i="10"/>
  <c r="AS147" i="10"/>
  <c r="AR147" i="10"/>
  <c r="AU146" i="10"/>
  <c r="AT146" i="10"/>
  <c r="AV146" i="10" s="1"/>
  <c r="AS146" i="10"/>
  <c r="AR146" i="10"/>
  <c r="AU145" i="10"/>
  <c r="AT145" i="10"/>
  <c r="AS145" i="10"/>
  <c r="AS149" i="10" s="1"/>
  <c r="AR145" i="10"/>
  <c r="AV145" i="10" s="1"/>
  <c r="AV144" i="10"/>
  <c r="AU144" i="10"/>
  <c r="AT144" i="10"/>
  <c r="AT149" i="10" s="1"/>
  <c r="AS144" i="10"/>
  <c r="AR144" i="10"/>
  <c r="AS141" i="10"/>
  <c r="AV140" i="10"/>
  <c r="AU140" i="10"/>
  <c r="AT140" i="10"/>
  <c r="AS140" i="10"/>
  <c r="AR140" i="10"/>
  <c r="AU139" i="10"/>
  <c r="AT139" i="10"/>
  <c r="AS139" i="10"/>
  <c r="AR139" i="10"/>
  <c r="AV139" i="10" s="1"/>
  <c r="AV138" i="10"/>
  <c r="AU138" i="10"/>
  <c r="AT138" i="10"/>
  <c r="AS138" i="10"/>
  <c r="AR138" i="10"/>
  <c r="AU137" i="10"/>
  <c r="AT137" i="10"/>
  <c r="AS137" i="10"/>
  <c r="AR137" i="10"/>
  <c r="AV137" i="10" s="1"/>
  <c r="AU136" i="10"/>
  <c r="AU141" i="10" s="1"/>
  <c r="AT136" i="10"/>
  <c r="AT141" i="10" s="1"/>
  <c r="AS136" i="10"/>
  <c r="AR136" i="10"/>
  <c r="AV136" i="10" s="1"/>
  <c r="AU135" i="10"/>
  <c r="AT135" i="10"/>
  <c r="AS135" i="10"/>
  <c r="AV135" i="10" s="1"/>
  <c r="AR135" i="10"/>
  <c r="AT132" i="10"/>
  <c r="AS132" i="10"/>
  <c r="AR132" i="10"/>
  <c r="AU131" i="10"/>
  <c r="AT131" i="10"/>
  <c r="AS131" i="10"/>
  <c r="AV131" i="10" s="1"/>
  <c r="AR131" i="10"/>
  <c r="AU130" i="10"/>
  <c r="AT130" i="10"/>
  <c r="AS130" i="10"/>
  <c r="AR130" i="10"/>
  <c r="AV130" i="10" s="1"/>
  <c r="AU129" i="10"/>
  <c r="AV129" i="10" s="1"/>
  <c r="AT129" i="10"/>
  <c r="AS129" i="10"/>
  <c r="AR129" i="10"/>
  <c r="AU128" i="10"/>
  <c r="AT128" i="10"/>
  <c r="AS128" i="10"/>
  <c r="AR128" i="10"/>
  <c r="AV128" i="10" s="1"/>
  <c r="AU127" i="10"/>
  <c r="AT127" i="10"/>
  <c r="AS127" i="10"/>
  <c r="AV127" i="10" s="1"/>
  <c r="AR127" i="10"/>
  <c r="AU126" i="10"/>
  <c r="AT126" i="10"/>
  <c r="AV126" i="10" s="1"/>
  <c r="AS126" i="10"/>
  <c r="AR126" i="10"/>
  <c r="AV124" i="10"/>
  <c r="AU124" i="10"/>
  <c r="AT124" i="10"/>
  <c r="AS124" i="10"/>
  <c r="AR124" i="10"/>
  <c r="AU123" i="10"/>
  <c r="AT123" i="10"/>
  <c r="AS123" i="10"/>
  <c r="AR123" i="10"/>
  <c r="AV123" i="10" s="1"/>
  <c r="AV122" i="10"/>
  <c r="AU122" i="10"/>
  <c r="AT122" i="10"/>
  <c r="AS122" i="10"/>
  <c r="AR122" i="10"/>
  <c r="AU121" i="10"/>
  <c r="AT121" i="10"/>
  <c r="AS121" i="10"/>
  <c r="AR121" i="10"/>
  <c r="AV121" i="10" s="1"/>
  <c r="AU120" i="10"/>
  <c r="AU125" i="10" s="1"/>
  <c r="AT120" i="10"/>
  <c r="AT125" i="10" s="1"/>
  <c r="AS120" i="10"/>
  <c r="AS125" i="10" s="1"/>
  <c r="AR120" i="10"/>
  <c r="AV120" i="10" s="1"/>
  <c r="AU119" i="10"/>
  <c r="AT119" i="10"/>
  <c r="AS119" i="10"/>
  <c r="AV119" i="10" s="1"/>
  <c r="AR119" i="10"/>
  <c r="AS116" i="10"/>
  <c r="AR116" i="10"/>
  <c r="AU115" i="10"/>
  <c r="AT115" i="10"/>
  <c r="AS115" i="10"/>
  <c r="AV115" i="10" s="1"/>
  <c r="AR115" i="10"/>
  <c r="AU114" i="10"/>
  <c r="AT114" i="10"/>
  <c r="AS114" i="10"/>
  <c r="AR114" i="10"/>
  <c r="AV114" i="10" s="1"/>
  <c r="AV113" i="10"/>
  <c r="AU113" i="10"/>
  <c r="AT113" i="10"/>
  <c r="AS113" i="10"/>
  <c r="AR113" i="10"/>
  <c r="AU112" i="10"/>
  <c r="AT112" i="10"/>
  <c r="AS112" i="10"/>
  <c r="AR112" i="10"/>
  <c r="AV112" i="10" s="1"/>
  <c r="AU111" i="10"/>
  <c r="AU116" i="10" s="1"/>
  <c r="AT111" i="10"/>
  <c r="AT116" i="10" s="1"/>
  <c r="AS111" i="10"/>
  <c r="AR111" i="10"/>
  <c r="AU110" i="10"/>
  <c r="AT110" i="10"/>
  <c r="AV110" i="10" s="1"/>
  <c r="AS110" i="10"/>
  <c r="AR110" i="10"/>
  <c r="AR109" i="10"/>
  <c r="AV108" i="10"/>
  <c r="AU108" i="10"/>
  <c r="AT108" i="10"/>
  <c r="AS108" i="10"/>
  <c r="AR108" i="10"/>
  <c r="AU107" i="10"/>
  <c r="AT107" i="10"/>
  <c r="AS107" i="10"/>
  <c r="AR107" i="10"/>
  <c r="AV107" i="10" s="1"/>
  <c r="AU106" i="10"/>
  <c r="AT106" i="10"/>
  <c r="AV106" i="10" s="1"/>
  <c r="AS106" i="10"/>
  <c r="AR106" i="10"/>
  <c r="AU105" i="10"/>
  <c r="AT105" i="10"/>
  <c r="AS105" i="10"/>
  <c r="AR105" i="10"/>
  <c r="AV105" i="10" s="1"/>
  <c r="AU104" i="10"/>
  <c r="AT104" i="10"/>
  <c r="AS104" i="10"/>
  <c r="AR104" i="10"/>
  <c r="AV104" i="10" s="1"/>
  <c r="AU103" i="10"/>
  <c r="AT103" i="10"/>
  <c r="AS103" i="10"/>
  <c r="AV103" i="10" s="1"/>
  <c r="AR103" i="10"/>
  <c r="AU102" i="10"/>
  <c r="AT102" i="10"/>
  <c r="AS102" i="10"/>
  <c r="AR102" i="10"/>
  <c r="AV102" i="10" s="1"/>
  <c r="AV101" i="10"/>
  <c r="AU101" i="10"/>
  <c r="AT101" i="10"/>
  <c r="AS101" i="10"/>
  <c r="AR101" i="10"/>
  <c r="AU100" i="10"/>
  <c r="AT100" i="10"/>
  <c r="AS100" i="10"/>
  <c r="AR100" i="10"/>
  <c r="AV100" i="10" s="1"/>
  <c r="AU99" i="10"/>
  <c r="AT99" i="10"/>
  <c r="AS99" i="10"/>
  <c r="AR99" i="10"/>
  <c r="AU98" i="10"/>
  <c r="AT98" i="10"/>
  <c r="AV98" i="10" s="1"/>
  <c r="AS98" i="10"/>
  <c r="AR98" i="10"/>
  <c r="AU97" i="10"/>
  <c r="AT97" i="10"/>
  <c r="AS97" i="10"/>
  <c r="AS109" i="10" s="1"/>
  <c r="AR97" i="10"/>
  <c r="AV96" i="10"/>
  <c r="AU96" i="10"/>
  <c r="AT96" i="10"/>
  <c r="AS96" i="10"/>
  <c r="AR96" i="10"/>
  <c r="AU95" i="10"/>
  <c r="AT95" i="10"/>
  <c r="AS95" i="10"/>
  <c r="AR95" i="10"/>
  <c r="AV95" i="10" s="1"/>
  <c r="AU94" i="10"/>
  <c r="AU109" i="10" s="1"/>
  <c r="AT94" i="10"/>
  <c r="AS94" i="10"/>
  <c r="AR94" i="10"/>
  <c r="AU93" i="10"/>
  <c r="AT93" i="10"/>
  <c r="AS93" i="10"/>
  <c r="AR93" i="10"/>
  <c r="AV93" i="10" s="1"/>
  <c r="AU88" i="10"/>
  <c r="AT88" i="10"/>
  <c r="AU87" i="10"/>
  <c r="AT87" i="10"/>
  <c r="AS87" i="10"/>
  <c r="AR87" i="10"/>
  <c r="AV87" i="10" s="1"/>
  <c r="AU86" i="10"/>
  <c r="AT86" i="10"/>
  <c r="AS86" i="10"/>
  <c r="AR86" i="10"/>
  <c r="AU85" i="10"/>
  <c r="AT85" i="10"/>
  <c r="AS85" i="10"/>
  <c r="AS88" i="10" s="1"/>
  <c r="AR85" i="10"/>
  <c r="AT82" i="10"/>
  <c r="AS82" i="10"/>
  <c r="AU81" i="10"/>
  <c r="AT81" i="10"/>
  <c r="AS81" i="10"/>
  <c r="AV81" i="10" s="1"/>
  <c r="AR81" i="10"/>
  <c r="AU80" i="10"/>
  <c r="AT80" i="10"/>
  <c r="AS80" i="10"/>
  <c r="AR80" i="10"/>
  <c r="AV80" i="10" s="1"/>
  <c r="AU79" i="10"/>
  <c r="AV79" i="10" s="1"/>
  <c r="AT79" i="10"/>
  <c r="AS79" i="10"/>
  <c r="AR79" i="10"/>
  <c r="AU78" i="10"/>
  <c r="AT78" i="10"/>
  <c r="AS78" i="10"/>
  <c r="AR78" i="10"/>
  <c r="AV78" i="10" s="1"/>
  <c r="AU77" i="10"/>
  <c r="AT77" i="10"/>
  <c r="AS77" i="10"/>
  <c r="AV77" i="10" s="1"/>
  <c r="AR77" i="10"/>
  <c r="AU76" i="10"/>
  <c r="AT76" i="10"/>
  <c r="AV76" i="10" s="1"/>
  <c r="AS76" i="10"/>
  <c r="AR76" i="10"/>
  <c r="AU75" i="10"/>
  <c r="AT75" i="10"/>
  <c r="AS75" i="10"/>
  <c r="AR75" i="10"/>
  <c r="AV74" i="10"/>
  <c r="AU74" i="10"/>
  <c r="AT74" i="10"/>
  <c r="AS74" i="10"/>
  <c r="AR74" i="10"/>
  <c r="AU73" i="10"/>
  <c r="AT73" i="10"/>
  <c r="AS73" i="10"/>
  <c r="AR73" i="10"/>
  <c r="AV73" i="10" s="1"/>
  <c r="AV72" i="10"/>
  <c r="AU72" i="10"/>
  <c r="AT72" i="10"/>
  <c r="AS72" i="10"/>
  <c r="AR72" i="10"/>
  <c r="AU71" i="10"/>
  <c r="AT71" i="10"/>
  <c r="AS71" i="10"/>
  <c r="AR71" i="10"/>
  <c r="AV71" i="10" s="1"/>
  <c r="AU70" i="10"/>
  <c r="AT70" i="10"/>
  <c r="AS70" i="10"/>
  <c r="AR70" i="10"/>
  <c r="AU69" i="10"/>
  <c r="AT69" i="10"/>
  <c r="AS69" i="10"/>
  <c r="AV69" i="10" s="1"/>
  <c r="AR69" i="10"/>
  <c r="AU68" i="10"/>
  <c r="AT68" i="10"/>
  <c r="AS68" i="10"/>
  <c r="AR68" i="10"/>
  <c r="AV68" i="10" s="1"/>
  <c r="AV67" i="10"/>
  <c r="AV84" i="10" s="1"/>
  <c r="AV91" i="10" s="1"/>
  <c r="AV118" i="10" s="1"/>
  <c r="AV134" i="10" s="1"/>
  <c r="AU67" i="10"/>
  <c r="AU84" i="10" s="1"/>
  <c r="AU91" i="10" s="1"/>
  <c r="AU118" i="10" s="1"/>
  <c r="AU134" i="10" s="1"/>
  <c r="AU143" i="10" s="1"/>
  <c r="AU60" i="10"/>
  <c r="AT60" i="10"/>
  <c r="AS60" i="10"/>
  <c r="AV60" i="10" s="1"/>
  <c r="AR60" i="10"/>
  <c r="AU59" i="10"/>
  <c r="AT59" i="10"/>
  <c r="AV59" i="10" s="1"/>
  <c r="AS59" i="10"/>
  <c r="AR59" i="10"/>
  <c r="AU58" i="10"/>
  <c r="AT58" i="10"/>
  <c r="AS58" i="10"/>
  <c r="AR58" i="10"/>
  <c r="AV57" i="10"/>
  <c r="AU57" i="10"/>
  <c r="AT57" i="10"/>
  <c r="AS57" i="10"/>
  <c r="AR57" i="10"/>
  <c r="AU56" i="10"/>
  <c r="AT56" i="10"/>
  <c r="AS56" i="10"/>
  <c r="AR56" i="10"/>
  <c r="AV56" i="10" s="1"/>
  <c r="AU55" i="10"/>
  <c r="AT55" i="10"/>
  <c r="AV55" i="10" s="1"/>
  <c r="AS55" i="10"/>
  <c r="AR55" i="10"/>
  <c r="AU54" i="10"/>
  <c r="AT54" i="10"/>
  <c r="AS54" i="10"/>
  <c r="AR54" i="10"/>
  <c r="AV54" i="10" s="1"/>
  <c r="AU53" i="10"/>
  <c r="AT53" i="10"/>
  <c r="AS53" i="10"/>
  <c r="AR53" i="10"/>
  <c r="AU52" i="10"/>
  <c r="AT52" i="10"/>
  <c r="AS52" i="10"/>
  <c r="AV52" i="10" s="1"/>
  <c r="AR52" i="10"/>
  <c r="AU51" i="10"/>
  <c r="AT51" i="10"/>
  <c r="AS51" i="10"/>
  <c r="AR51" i="10"/>
  <c r="AV51" i="10" s="1"/>
  <c r="AV50" i="10"/>
  <c r="AU50" i="10"/>
  <c r="AT50" i="10"/>
  <c r="AS50" i="10"/>
  <c r="AR50" i="10"/>
  <c r="AU49" i="10"/>
  <c r="AT49" i="10"/>
  <c r="AS49" i="10"/>
  <c r="AR49" i="10"/>
  <c r="AV49" i="10" s="1"/>
  <c r="AU48" i="10"/>
  <c r="AT48" i="10"/>
  <c r="AS48" i="10"/>
  <c r="AV48" i="10" s="1"/>
  <c r="AR48" i="10"/>
  <c r="AU47" i="10"/>
  <c r="AT47" i="10"/>
  <c r="AV47" i="10" s="1"/>
  <c r="AS47" i="10"/>
  <c r="AR47" i="10"/>
  <c r="AU46" i="10"/>
  <c r="AT46" i="10"/>
  <c r="AS46" i="10"/>
  <c r="AR46" i="10"/>
  <c r="AV46" i="10" s="1"/>
  <c r="AV45" i="10"/>
  <c r="AU45" i="10"/>
  <c r="AT45" i="10"/>
  <c r="AS45" i="10"/>
  <c r="AR45" i="10"/>
  <c r="AU44" i="10"/>
  <c r="AT44" i="10"/>
  <c r="AS44" i="10"/>
  <c r="AR44" i="10"/>
  <c r="AV44" i="10" s="1"/>
  <c r="AU43" i="10"/>
  <c r="AT43" i="10"/>
  <c r="AV43" i="10" s="1"/>
  <c r="AS43" i="10"/>
  <c r="AR43" i="10"/>
  <c r="AU42" i="10"/>
  <c r="AT42" i="10"/>
  <c r="AS42" i="10"/>
  <c r="AR42" i="10"/>
  <c r="AV42" i="10" s="1"/>
  <c r="AU41" i="10"/>
  <c r="AT41" i="10"/>
  <c r="AS41" i="10"/>
  <c r="AR41" i="10"/>
  <c r="AU40" i="10"/>
  <c r="AT40" i="10"/>
  <c r="AS40" i="10"/>
  <c r="AV40" i="10" s="1"/>
  <c r="AR40" i="10"/>
  <c r="AU39" i="10"/>
  <c r="AU61" i="10" s="1"/>
  <c r="AU64" i="10" s="1"/>
  <c r="AT39" i="10"/>
  <c r="AT61" i="10" s="1"/>
  <c r="AT64" i="10" s="1"/>
  <c r="AS39" i="10"/>
  <c r="AR39" i="10"/>
  <c r="AV38" i="10"/>
  <c r="AU38" i="10"/>
  <c r="AU35" i="10"/>
  <c r="AT35" i="10"/>
  <c r="AS35" i="10"/>
  <c r="AR35" i="10"/>
  <c r="AV35" i="10" s="1"/>
  <c r="AU34" i="10"/>
  <c r="AV34" i="10" s="1"/>
  <c r="AT34" i="10"/>
  <c r="AS34" i="10"/>
  <c r="AR34" i="10"/>
  <c r="AU33" i="10"/>
  <c r="AT33" i="10"/>
  <c r="AS33" i="10"/>
  <c r="AR33" i="10"/>
  <c r="AV33" i="10" s="1"/>
  <c r="AU32" i="10"/>
  <c r="AT32" i="10"/>
  <c r="AS32" i="10"/>
  <c r="AV32" i="10" s="1"/>
  <c r="AR32" i="10"/>
  <c r="AU31" i="10"/>
  <c r="AT31" i="10"/>
  <c r="AV31" i="10" s="1"/>
  <c r="AS31" i="10"/>
  <c r="AR31" i="10"/>
  <c r="AU30" i="10"/>
  <c r="AT30" i="10"/>
  <c r="AS30" i="10"/>
  <c r="AR30" i="10"/>
  <c r="AV29" i="10"/>
  <c r="AU29" i="10"/>
  <c r="AT29" i="10"/>
  <c r="AS29" i="10"/>
  <c r="AR29" i="10"/>
  <c r="AU28" i="10"/>
  <c r="AT28" i="10"/>
  <c r="AS28" i="10"/>
  <c r="AR28" i="10"/>
  <c r="AV28" i="10" s="1"/>
  <c r="AU27" i="10"/>
  <c r="AT27" i="10"/>
  <c r="AS27" i="10"/>
  <c r="AR27" i="10"/>
  <c r="AV26" i="10"/>
  <c r="AU26" i="10"/>
  <c r="AU25" i="10"/>
  <c r="AS25" i="10"/>
  <c r="AR25" i="10"/>
  <c r="AV25" i="10" s="1"/>
  <c r="AU24" i="10"/>
  <c r="AT24" i="10"/>
  <c r="AS24" i="10"/>
  <c r="AR24" i="10"/>
  <c r="AU23" i="10"/>
  <c r="AT23" i="10"/>
  <c r="AV23" i="10" s="1"/>
  <c r="AS23" i="10"/>
  <c r="AR23" i="10"/>
  <c r="AU22" i="10"/>
  <c r="AT22" i="10"/>
  <c r="AS22" i="10"/>
  <c r="AR22" i="10"/>
  <c r="AV22" i="10" s="1"/>
  <c r="AV21" i="10"/>
  <c r="AU21" i="10"/>
  <c r="AT21" i="10"/>
  <c r="AS21" i="10"/>
  <c r="AR21" i="10"/>
  <c r="AR16" i="10"/>
  <c r="AR15" i="10"/>
  <c r="AR14" i="10"/>
  <c r="AR13" i="10"/>
  <c r="AR12" i="10"/>
  <c r="AR11" i="10"/>
  <c r="AR10" i="10"/>
  <c r="AR3" i="10" s="1"/>
  <c r="AR9" i="10"/>
  <c r="AR8" i="10"/>
  <c r="AR7" i="10"/>
  <c r="AR6" i="10"/>
  <c r="AR5" i="10"/>
  <c r="AR4" i="10"/>
  <c r="AR2" i="10"/>
  <c r="AF193" i="10"/>
  <c r="AH111" i="10"/>
  <c r="AG111" i="10"/>
  <c r="AH110" i="10"/>
  <c r="AG110" i="10"/>
  <c r="AF110" i="10"/>
  <c r="AG127" i="10"/>
  <c r="AG126" i="10"/>
  <c r="Z212" i="10"/>
  <c r="Z206" i="10"/>
  <c r="Z205" i="10"/>
  <c r="Z203" i="10"/>
  <c r="Z202" i="10"/>
  <c r="J32" i="18"/>
  <c r="J31" i="18"/>
  <c r="H23" i="18"/>
  <c r="D5" i="18"/>
  <c r="Z185" i="10"/>
  <c r="Z184" i="10"/>
  <c r="Z183" i="10"/>
  <c r="Z182" i="10"/>
  <c r="AD182" i="10" s="1"/>
  <c r="Z178" i="10"/>
  <c r="Z176" i="10"/>
  <c r="Z175" i="10"/>
  <c r="Z174" i="10"/>
  <c r="AF168" i="10"/>
  <c r="Z168" i="10"/>
  <c r="T166" i="10"/>
  <c r="Z165" i="10"/>
  <c r="AD165" i="10" s="1"/>
  <c r="AF164" i="9"/>
  <c r="AF164" i="10"/>
  <c r="Z164" i="10"/>
  <c r="Z154" i="10"/>
  <c r="AA154" i="10"/>
  <c r="AA153" i="10"/>
  <c r="Z152" i="10"/>
  <c r="Z148" i="10"/>
  <c r="Z146" i="10"/>
  <c r="Z145" i="10"/>
  <c r="Z144" i="10"/>
  <c r="AA140" i="10"/>
  <c r="Z139" i="10"/>
  <c r="Z138" i="10"/>
  <c r="Z135" i="10"/>
  <c r="Z128" i="10"/>
  <c r="AC127" i="10"/>
  <c r="AB127" i="10"/>
  <c r="AA127" i="10"/>
  <c r="AC126" i="10"/>
  <c r="AB126" i="10"/>
  <c r="AA126" i="10"/>
  <c r="Z123" i="10"/>
  <c r="AA123" i="10"/>
  <c r="AA122" i="10"/>
  <c r="Z121" i="10"/>
  <c r="Z119" i="10"/>
  <c r="AD119" i="10" s="1"/>
  <c r="Z112" i="10"/>
  <c r="AA111" i="10"/>
  <c r="AA110" i="10"/>
  <c r="Z110" i="10"/>
  <c r="AB103" i="10"/>
  <c r="AD103" i="10" s="1"/>
  <c r="Z101" i="10"/>
  <c r="Z99" i="10"/>
  <c r="Z98" i="10"/>
  <c r="Z95" i="10"/>
  <c r="Z94" i="10"/>
  <c r="Z93" i="10"/>
  <c r="AB181" i="9"/>
  <c r="AB180" i="9"/>
  <c r="AB81" i="9"/>
  <c r="AB80" i="9"/>
  <c r="AB181" i="10"/>
  <c r="AD181" i="10" s="1"/>
  <c r="AB180" i="10"/>
  <c r="AB80" i="10"/>
  <c r="AB81" i="10"/>
  <c r="AB82" i="10" s="1"/>
  <c r="AA74" i="10"/>
  <c r="Z6" i="10"/>
  <c r="Z7" i="10"/>
  <c r="Z8" i="10"/>
  <c r="Z9" i="10"/>
  <c r="Z5" i="10"/>
  <c r="AD220" i="10"/>
  <c r="AC220" i="10"/>
  <c r="AB220" i="10"/>
  <c r="AA220" i="10"/>
  <c r="Z220" i="10"/>
  <c r="AC216" i="10"/>
  <c r="AB216" i="10"/>
  <c r="AA216" i="10"/>
  <c r="AD215" i="10"/>
  <c r="AD214" i="10"/>
  <c r="AD213" i="10"/>
  <c r="AC207" i="10"/>
  <c r="AB207" i="10"/>
  <c r="AA207" i="10"/>
  <c r="AD206" i="10"/>
  <c r="AD205" i="10"/>
  <c r="AD204" i="10"/>
  <c r="AD203" i="10"/>
  <c r="AD202" i="10"/>
  <c r="AD201" i="10"/>
  <c r="AD200" i="10"/>
  <c r="AD198" i="10"/>
  <c r="AD197" i="10"/>
  <c r="AC194" i="10"/>
  <c r="AA194" i="10"/>
  <c r="AD192" i="10"/>
  <c r="AD191" i="10"/>
  <c r="AD190" i="10"/>
  <c r="AD189" i="10"/>
  <c r="AD188" i="10"/>
  <c r="AD187" i="10"/>
  <c r="AD186" i="10"/>
  <c r="AD185" i="10"/>
  <c r="AD184" i="10"/>
  <c r="AD183" i="10"/>
  <c r="AD180" i="10"/>
  <c r="AD179" i="10"/>
  <c r="AD177" i="10"/>
  <c r="AD175" i="10"/>
  <c r="AD174" i="10"/>
  <c r="AC171" i="10"/>
  <c r="AB171" i="10"/>
  <c r="AA171" i="10"/>
  <c r="AD169" i="10"/>
  <c r="AD167" i="10"/>
  <c r="AD166" i="10"/>
  <c r="AD163" i="10"/>
  <c r="AD162" i="10"/>
  <c r="AD158" i="10"/>
  <c r="AD155" i="10"/>
  <c r="AC154" i="10"/>
  <c r="AC159" i="10" s="1"/>
  <c r="AC149" i="10"/>
  <c r="AB149" i="10"/>
  <c r="AA149" i="10"/>
  <c r="AD147" i="10"/>
  <c r="AC141" i="10"/>
  <c r="AB141" i="10"/>
  <c r="AD137" i="10"/>
  <c r="AD136" i="10"/>
  <c r="AD131" i="10"/>
  <c r="AD130" i="10"/>
  <c r="AC129" i="10"/>
  <c r="AC125" i="10"/>
  <c r="AD124" i="10"/>
  <c r="Z124" i="10"/>
  <c r="AC123" i="10"/>
  <c r="AB123" i="10"/>
  <c r="AB125" i="10" s="1"/>
  <c r="AA125" i="10"/>
  <c r="AD121" i="10"/>
  <c r="AD120" i="10"/>
  <c r="AD115" i="10"/>
  <c r="AD114" i="10"/>
  <c r="AC112" i="10"/>
  <c r="AB112" i="10"/>
  <c r="AA112" i="10"/>
  <c r="AD112" i="10"/>
  <c r="AC109" i="10"/>
  <c r="AC110" i="10" s="1"/>
  <c r="AB109" i="10"/>
  <c r="AB110" i="10" s="1"/>
  <c r="AA109" i="10"/>
  <c r="AD108" i="10"/>
  <c r="AD107" i="10"/>
  <c r="AD106" i="10"/>
  <c r="AD105" i="10"/>
  <c r="AD104" i="10"/>
  <c r="AD102" i="10"/>
  <c r="AD101" i="10"/>
  <c r="AD100" i="10"/>
  <c r="AD99" i="10"/>
  <c r="AD98" i="10"/>
  <c r="AD97" i="10"/>
  <c r="AD96" i="10"/>
  <c r="AD95" i="10"/>
  <c r="AD93" i="10"/>
  <c r="AD88" i="10"/>
  <c r="AC88" i="10"/>
  <c r="AB88" i="10"/>
  <c r="AA88" i="10"/>
  <c r="Z88" i="10"/>
  <c r="AC84" i="10"/>
  <c r="AC91" i="10" s="1"/>
  <c r="AC118" i="10" s="1"/>
  <c r="AC134" i="10" s="1"/>
  <c r="AC143" i="10" s="1"/>
  <c r="AC82" i="10"/>
  <c r="AD81" i="10"/>
  <c r="AD79" i="10"/>
  <c r="AD78" i="10"/>
  <c r="AD77" i="10"/>
  <c r="AD76" i="10"/>
  <c r="AA75" i="10"/>
  <c r="AD75" i="10" s="1"/>
  <c r="AA82" i="10"/>
  <c r="AD73" i="10"/>
  <c r="AD72" i="10"/>
  <c r="Z71" i="10"/>
  <c r="AD71" i="10" s="1"/>
  <c r="Z70" i="10"/>
  <c r="AD70" i="10" s="1"/>
  <c r="Z69" i="10"/>
  <c r="AD69" i="10" s="1"/>
  <c r="AD67" i="10"/>
  <c r="AD84" i="10" s="1"/>
  <c r="AD91" i="10" s="1"/>
  <c r="AD118" i="10" s="1"/>
  <c r="AD134" i="10" s="1"/>
  <c r="AD143" i="10" s="1"/>
  <c r="AC67" i="10"/>
  <c r="AC64" i="10"/>
  <c r="AC63" i="10"/>
  <c r="Z63" i="10"/>
  <c r="Z129" i="10" s="1"/>
  <c r="AC61" i="10"/>
  <c r="AB61" i="10"/>
  <c r="AB64" i="10" s="1"/>
  <c r="AA61" i="10"/>
  <c r="AA64" i="10" s="1"/>
  <c r="AA113" i="10" s="1"/>
  <c r="Z61" i="10"/>
  <c r="Z64" i="10" s="1"/>
  <c r="AD60" i="10"/>
  <c r="AD59" i="10"/>
  <c r="AD58" i="10"/>
  <c r="AD57" i="10"/>
  <c r="AD56" i="10"/>
  <c r="AD55" i="10"/>
  <c r="AD54" i="10"/>
  <c r="AD53" i="10"/>
  <c r="AD52" i="10"/>
  <c r="AD51" i="10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8" i="10"/>
  <c r="AC38" i="10"/>
  <c r="AC36" i="10"/>
  <c r="AB36" i="10"/>
  <c r="AB154" i="10" s="1"/>
  <c r="AB159" i="10" s="1"/>
  <c r="AA36" i="10"/>
  <c r="Z36" i="10"/>
  <c r="AD35" i="10"/>
  <c r="AD34" i="10"/>
  <c r="AD33" i="10"/>
  <c r="AD32" i="10"/>
  <c r="AD31" i="10"/>
  <c r="AD30" i="10"/>
  <c r="AD29" i="10"/>
  <c r="AD28" i="10"/>
  <c r="AD36" i="10" s="1"/>
  <c r="AD63" i="10" s="1"/>
  <c r="AD27" i="10"/>
  <c r="AD26" i="10"/>
  <c r="AC26" i="10"/>
  <c r="AD25" i="10"/>
  <c r="AD24" i="10"/>
  <c r="AD23" i="10"/>
  <c r="AD22" i="10"/>
  <c r="AD21" i="10"/>
  <c r="AA17" i="10"/>
  <c r="Z10" i="10"/>
  <c r="Z17" i="10"/>
  <c r="Z4" i="10"/>
  <c r="Z2" i="10"/>
  <c r="N206" i="10"/>
  <c r="N205" i="10"/>
  <c r="N203" i="10"/>
  <c r="R203" i="10" s="1"/>
  <c r="N202" i="10"/>
  <c r="R202" i="10" s="1"/>
  <c r="N201" i="10"/>
  <c r="N200" i="10"/>
  <c r="R200" i="10" s="1"/>
  <c r="N199" i="10"/>
  <c r="R199" i="10" s="1"/>
  <c r="N198" i="10"/>
  <c r="R198" i="10" s="1"/>
  <c r="N197" i="10"/>
  <c r="N207" i="10" s="1"/>
  <c r="N188" i="10"/>
  <c r="R188" i="10" s="1"/>
  <c r="N185" i="10"/>
  <c r="R185" i="10" s="1"/>
  <c r="N184" i="10"/>
  <c r="R184" i="10" s="1"/>
  <c r="N183" i="10"/>
  <c r="N182" i="10"/>
  <c r="N179" i="10"/>
  <c r="N177" i="10"/>
  <c r="N176" i="10"/>
  <c r="R176" i="10" s="1"/>
  <c r="N175" i="10"/>
  <c r="R175" i="10" s="1"/>
  <c r="N174" i="10"/>
  <c r="R174" i="10" s="1"/>
  <c r="P181" i="10"/>
  <c r="P180" i="10"/>
  <c r="P81" i="10"/>
  <c r="R81" i="10" s="1"/>
  <c r="P80" i="10"/>
  <c r="N167" i="10"/>
  <c r="R167" i="10" s="1"/>
  <c r="N166" i="10"/>
  <c r="N165" i="10"/>
  <c r="N152" i="10"/>
  <c r="R152" i="10" s="1"/>
  <c r="O140" i="10"/>
  <c r="N135" i="10"/>
  <c r="N124" i="10"/>
  <c r="N154" i="10" s="1"/>
  <c r="N123" i="10"/>
  <c r="O123" i="10"/>
  <c r="O122" i="10"/>
  <c r="R122" i="10" s="1"/>
  <c r="N121" i="10"/>
  <c r="N120" i="10"/>
  <c r="N119" i="10"/>
  <c r="R119" i="10" s="1"/>
  <c r="N110" i="9"/>
  <c r="N110" i="4"/>
  <c r="N108" i="10"/>
  <c r="N107" i="10"/>
  <c r="R107" i="10" s="1"/>
  <c r="O106" i="10"/>
  <c r="R106" i="10" s="1"/>
  <c r="O105" i="10"/>
  <c r="R105" i="10" s="1"/>
  <c r="O104" i="10"/>
  <c r="R104" i="10" s="1"/>
  <c r="P102" i="10"/>
  <c r="N101" i="10"/>
  <c r="R101" i="10" s="1"/>
  <c r="N100" i="10"/>
  <c r="R100" i="10" s="1"/>
  <c r="N99" i="10"/>
  <c r="R99" i="10" s="1"/>
  <c r="N98" i="10"/>
  <c r="N95" i="10"/>
  <c r="N94" i="10"/>
  <c r="N93" i="10"/>
  <c r="O74" i="10"/>
  <c r="R220" i="10"/>
  <c r="Q220" i="10"/>
  <c r="P220" i="10"/>
  <c r="O220" i="10"/>
  <c r="N220" i="10"/>
  <c r="R216" i="10"/>
  <c r="Q216" i="10"/>
  <c r="P216" i="10"/>
  <c r="O216" i="10"/>
  <c r="N216" i="10"/>
  <c r="R215" i="10"/>
  <c r="R214" i="10"/>
  <c r="R213" i="10"/>
  <c r="R212" i="10"/>
  <c r="Q207" i="10"/>
  <c r="P207" i="10"/>
  <c r="O207" i="10"/>
  <c r="R206" i="10"/>
  <c r="R205" i="10"/>
  <c r="R204" i="10"/>
  <c r="R201" i="10"/>
  <c r="Q194" i="10"/>
  <c r="O194" i="10"/>
  <c r="R192" i="10"/>
  <c r="R191" i="10"/>
  <c r="R190" i="10"/>
  <c r="R189" i="10"/>
  <c r="R187" i="10"/>
  <c r="R186" i="10"/>
  <c r="R183" i="10"/>
  <c r="R182" i="10"/>
  <c r="R181" i="10"/>
  <c r="R180" i="10"/>
  <c r="R179" i="10"/>
  <c r="Q171" i="10"/>
  <c r="P171" i="10"/>
  <c r="O171" i="10"/>
  <c r="R169" i="10"/>
  <c r="R166" i="10"/>
  <c r="R165" i="10"/>
  <c r="N163" i="10"/>
  <c r="R163" i="10" s="1"/>
  <c r="N162" i="10"/>
  <c r="R162" i="10" s="1"/>
  <c r="R158" i="10"/>
  <c r="R155" i="10"/>
  <c r="Q149" i="10"/>
  <c r="P149" i="10"/>
  <c r="O149" i="10"/>
  <c r="R147" i="10"/>
  <c r="Q141" i="10"/>
  <c r="P141" i="10"/>
  <c r="O141" i="10"/>
  <c r="R140" i="10"/>
  <c r="R137" i="10"/>
  <c r="R136" i="10"/>
  <c r="R131" i="10"/>
  <c r="R130" i="10"/>
  <c r="P125" i="10"/>
  <c r="P126" i="10" s="1"/>
  <c r="O125" i="10"/>
  <c r="O126" i="10" s="1"/>
  <c r="Q123" i="10"/>
  <c r="R123" i="10" s="1"/>
  <c r="R120" i="10"/>
  <c r="R115" i="10"/>
  <c r="R114" i="10"/>
  <c r="Q112" i="10"/>
  <c r="P112" i="10"/>
  <c r="O112" i="10"/>
  <c r="N112" i="10"/>
  <c r="R112" i="10" s="1"/>
  <c r="Q109" i="10"/>
  <c r="Q110" i="10" s="1"/>
  <c r="R103" i="10"/>
  <c r="R98" i="10"/>
  <c r="R97" i="10"/>
  <c r="R96" i="10"/>
  <c r="R95" i="10"/>
  <c r="R94" i="10"/>
  <c r="R93" i="10"/>
  <c r="Q88" i="10"/>
  <c r="P88" i="10"/>
  <c r="O88" i="10"/>
  <c r="N88" i="10"/>
  <c r="R87" i="10"/>
  <c r="R86" i="10"/>
  <c r="R85" i="10"/>
  <c r="Q82" i="10"/>
  <c r="R79" i="10"/>
  <c r="R78" i="10"/>
  <c r="R77" i="10"/>
  <c r="R76" i="10"/>
  <c r="R75" i="10"/>
  <c r="R74" i="10"/>
  <c r="R73" i="10"/>
  <c r="R72" i="10"/>
  <c r="N71" i="10"/>
  <c r="R71" i="10" s="1"/>
  <c r="N70" i="10"/>
  <c r="R70" i="10" s="1"/>
  <c r="R67" i="10"/>
  <c r="R84" i="10" s="1"/>
  <c r="R91" i="10" s="1"/>
  <c r="R118" i="10" s="1"/>
  <c r="R134" i="10" s="1"/>
  <c r="Q67" i="10"/>
  <c r="Q84" i="10" s="1"/>
  <c r="Q91" i="10" s="1"/>
  <c r="Q118" i="10" s="1"/>
  <c r="Q134" i="10" s="1"/>
  <c r="Q61" i="10"/>
  <c r="Q64" i="10" s="1"/>
  <c r="Q113" i="10" s="1"/>
  <c r="P61" i="10"/>
  <c r="P64" i="10" s="1"/>
  <c r="O61" i="10"/>
  <c r="O64" i="10" s="1"/>
  <c r="O113" i="10" s="1"/>
  <c r="N61" i="10"/>
  <c r="N64" i="10" s="1"/>
  <c r="N113" i="10" s="1"/>
  <c r="R60" i="10"/>
  <c r="R59" i="10"/>
  <c r="R58" i="10"/>
  <c r="R57" i="10"/>
  <c r="R56" i="10"/>
  <c r="R55" i="10"/>
  <c r="R54" i="10"/>
  <c r="R53" i="10"/>
  <c r="R52" i="10"/>
  <c r="R51" i="10"/>
  <c r="R50" i="10"/>
  <c r="R49" i="10"/>
  <c r="R48" i="10"/>
  <c r="R47" i="10"/>
  <c r="R46" i="10"/>
  <c r="R45" i="10"/>
  <c r="R44" i="10"/>
  <c r="R43" i="10"/>
  <c r="R42" i="10"/>
  <c r="R41" i="10"/>
  <c r="R40" i="10"/>
  <c r="R39" i="10"/>
  <c r="R38" i="10"/>
  <c r="Q38" i="10"/>
  <c r="Q36" i="10"/>
  <c r="Q128" i="10" s="1"/>
  <c r="P36" i="10"/>
  <c r="P128" i="10" s="1"/>
  <c r="O36" i="10"/>
  <c r="O128" i="10" s="1"/>
  <c r="N36" i="10"/>
  <c r="N128" i="10" s="1"/>
  <c r="R35" i="10"/>
  <c r="R34" i="10"/>
  <c r="R33" i="10"/>
  <c r="R32" i="10"/>
  <c r="R31" i="10"/>
  <c r="R30" i="10"/>
  <c r="R29" i="10"/>
  <c r="R28" i="10"/>
  <c r="R27" i="10"/>
  <c r="R36" i="10" s="1"/>
  <c r="R63" i="10" s="1"/>
  <c r="R26" i="10"/>
  <c r="Q26" i="10"/>
  <c r="R25" i="10"/>
  <c r="R24" i="10"/>
  <c r="R23" i="10"/>
  <c r="R22" i="10"/>
  <c r="R21" i="10"/>
  <c r="O17" i="10"/>
  <c r="N13" i="10"/>
  <c r="N12" i="10"/>
  <c r="N11" i="10"/>
  <c r="N10" i="10"/>
  <c r="N9" i="10"/>
  <c r="N8" i="10"/>
  <c r="N3" i="10" s="1"/>
  <c r="N4" i="10"/>
  <c r="H206" i="10"/>
  <c r="L206" i="10" s="1"/>
  <c r="H205" i="10"/>
  <c r="L205" i="10" s="1"/>
  <c r="H203" i="10"/>
  <c r="L203" i="10" s="1"/>
  <c r="H202" i="10"/>
  <c r="L202" i="10" s="1"/>
  <c r="H201" i="10"/>
  <c r="L201" i="10" s="1"/>
  <c r="H200" i="10"/>
  <c r="L200" i="10" s="1"/>
  <c r="H199" i="10"/>
  <c r="L199" i="10" s="1"/>
  <c r="H197" i="10"/>
  <c r="L197" i="10" s="1"/>
  <c r="H185" i="10"/>
  <c r="L185" i="10" s="1"/>
  <c r="H184" i="10"/>
  <c r="H183" i="10"/>
  <c r="H182" i="10"/>
  <c r="H179" i="10"/>
  <c r="L179" i="10" s="1"/>
  <c r="H178" i="10"/>
  <c r="H177" i="10"/>
  <c r="L177" i="10" s="1"/>
  <c r="H176" i="10"/>
  <c r="L176" i="10" s="1"/>
  <c r="H175" i="10"/>
  <c r="L175" i="10" s="1"/>
  <c r="H174" i="10"/>
  <c r="L174" i="10" s="1"/>
  <c r="H168" i="10"/>
  <c r="H167" i="10"/>
  <c r="L167" i="10" s="1"/>
  <c r="H166" i="10"/>
  <c r="H165" i="10"/>
  <c r="H164" i="10"/>
  <c r="I153" i="10"/>
  <c r="H152" i="10"/>
  <c r="H148" i="10"/>
  <c r="H146" i="10"/>
  <c r="L146" i="10" s="1"/>
  <c r="H145" i="10"/>
  <c r="H144" i="10"/>
  <c r="I140" i="10"/>
  <c r="I141" i="10" s="1"/>
  <c r="H135" i="10"/>
  <c r="K126" i="10"/>
  <c r="J126" i="10"/>
  <c r="H124" i="10"/>
  <c r="H123" i="10"/>
  <c r="I123" i="10"/>
  <c r="I122" i="10"/>
  <c r="H120" i="10"/>
  <c r="L120" i="10" s="1"/>
  <c r="H119" i="10"/>
  <c r="K110" i="10"/>
  <c r="J110" i="10"/>
  <c r="H108" i="10"/>
  <c r="I106" i="10"/>
  <c r="I105" i="10"/>
  <c r="I104" i="10"/>
  <c r="J102" i="10"/>
  <c r="H101" i="10"/>
  <c r="H99" i="10"/>
  <c r="L99" i="10" s="1"/>
  <c r="H98" i="10"/>
  <c r="L98" i="10" s="1"/>
  <c r="H96" i="10"/>
  <c r="L96" i="10" s="1"/>
  <c r="H95" i="10"/>
  <c r="L95" i="10" s="1"/>
  <c r="H94" i="10"/>
  <c r="H93" i="10"/>
  <c r="J181" i="10"/>
  <c r="J180" i="10"/>
  <c r="L180" i="10" s="1"/>
  <c r="J81" i="10"/>
  <c r="L81" i="10" s="1"/>
  <c r="J80" i="10"/>
  <c r="J82" i="10" s="1"/>
  <c r="I74" i="10"/>
  <c r="I82" i="10" s="1"/>
  <c r="L220" i="10"/>
  <c r="K220" i="10"/>
  <c r="J220" i="10"/>
  <c r="I220" i="10"/>
  <c r="H220" i="10"/>
  <c r="K216" i="10"/>
  <c r="J216" i="10"/>
  <c r="I216" i="10"/>
  <c r="H216" i="10"/>
  <c r="L215" i="10"/>
  <c r="L214" i="10"/>
  <c r="L213" i="10"/>
  <c r="L212" i="10"/>
  <c r="L216" i="10" s="1"/>
  <c r="K207" i="10"/>
  <c r="J207" i="10"/>
  <c r="I207" i="10"/>
  <c r="L204" i="10"/>
  <c r="L198" i="10"/>
  <c r="K194" i="10"/>
  <c r="J194" i="10"/>
  <c r="I194" i="10"/>
  <c r="L192" i="10"/>
  <c r="L191" i="10"/>
  <c r="L190" i="10"/>
  <c r="L189" i="10"/>
  <c r="L188" i="10"/>
  <c r="L187" i="10"/>
  <c r="L186" i="10"/>
  <c r="L184" i="10"/>
  <c r="L183" i="10"/>
  <c r="L182" i="10"/>
  <c r="L181" i="10"/>
  <c r="K171" i="10"/>
  <c r="J171" i="10"/>
  <c r="I171" i="10"/>
  <c r="L169" i="10"/>
  <c r="L166" i="10"/>
  <c r="L165" i="10"/>
  <c r="L163" i="10"/>
  <c r="H162" i="10"/>
  <c r="L162" i="10" s="1"/>
  <c r="L158" i="10"/>
  <c r="L155" i="10"/>
  <c r="K149" i="10"/>
  <c r="J149" i="10"/>
  <c r="I149" i="10"/>
  <c r="L148" i="10"/>
  <c r="L147" i="10"/>
  <c r="K141" i="10"/>
  <c r="J141" i="10"/>
  <c r="L137" i="10"/>
  <c r="L136" i="10"/>
  <c r="L135" i="10"/>
  <c r="L131" i="10"/>
  <c r="L130" i="10"/>
  <c r="H129" i="10"/>
  <c r="J125" i="10"/>
  <c r="K123" i="10"/>
  <c r="K125" i="10" s="1"/>
  <c r="L122" i="10"/>
  <c r="L115" i="10"/>
  <c r="L114" i="10"/>
  <c r="J113" i="10"/>
  <c r="I113" i="10"/>
  <c r="K112" i="10"/>
  <c r="L112" i="10" s="1"/>
  <c r="J112" i="10"/>
  <c r="I112" i="10"/>
  <c r="H112" i="10"/>
  <c r="K109" i="10"/>
  <c r="L108" i="10"/>
  <c r="L107" i="10"/>
  <c r="I109" i="10"/>
  <c r="I110" i="10" s="1"/>
  <c r="L105" i="10"/>
  <c r="L104" i="10"/>
  <c r="L103" i="10"/>
  <c r="J109" i="10"/>
  <c r="L101" i="10"/>
  <c r="L100" i="10"/>
  <c r="L97" i="10"/>
  <c r="L94" i="10"/>
  <c r="L88" i="10"/>
  <c r="K88" i="10"/>
  <c r="J88" i="10"/>
  <c r="I88" i="10"/>
  <c r="H88" i="10"/>
  <c r="K82" i="10"/>
  <c r="L79" i="10"/>
  <c r="L78" i="10"/>
  <c r="L77" i="10"/>
  <c r="L76" i="10"/>
  <c r="L75" i="10"/>
  <c r="L74" i="10"/>
  <c r="L73" i="10"/>
  <c r="L72" i="10"/>
  <c r="H71" i="10"/>
  <c r="L71" i="10" s="1"/>
  <c r="H70" i="10"/>
  <c r="L70" i="10" s="1"/>
  <c r="L67" i="10"/>
  <c r="L84" i="10" s="1"/>
  <c r="L91" i="10" s="1"/>
  <c r="L118" i="10" s="1"/>
  <c r="L134" i="10" s="1"/>
  <c r="K67" i="10"/>
  <c r="K84" i="10" s="1"/>
  <c r="K91" i="10" s="1"/>
  <c r="K118" i="10" s="1"/>
  <c r="K134" i="10" s="1"/>
  <c r="J64" i="10"/>
  <c r="I64" i="10"/>
  <c r="H64" i="10"/>
  <c r="H113" i="10" s="1"/>
  <c r="K63" i="10"/>
  <c r="K61" i="10"/>
  <c r="K64" i="10" s="1"/>
  <c r="J61" i="10"/>
  <c r="I61" i="10"/>
  <c r="H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K38" i="10"/>
  <c r="K36" i="10"/>
  <c r="K128" i="10" s="1"/>
  <c r="J36" i="10"/>
  <c r="I36" i="10"/>
  <c r="I154" i="10" s="1"/>
  <c r="H36" i="10"/>
  <c r="H63" i="10" s="1"/>
  <c r="L35" i="10"/>
  <c r="L34" i="10"/>
  <c r="L33" i="10"/>
  <c r="L32" i="10"/>
  <c r="L31" i="10"/>
  <c r="L30" i="10"/>
  <c r="L29" i="10"/>
  <c r="L28" i="10"/>
  <c r="L27" i="10"/>
  <c r="L26" i="10"/>
  <c r="K26" i="10"/>
  <c r="L25" i="10"/>
  <c r="L24" i="10"/>
  <c r="L23" i="10"/>
  <c r="L22" i="10"/>
  <c r="L21" i="10"/>
  <c r="I17" i="10"/>
  <c r="H17" i="10"/>
  <c r="H138" i="10" s="1"/>
  <c r="H3" i="10"/>
  <c r="H2" i="10"/>
  <c r="H69" i="10" s="1"/>
  <c r="L69" i="10" s="1"/>
  <c r="B206" i="10"/>
  <c r="F206" i="10" s="1"/>
  <c r="B205" i="10"/>
  <c r="F205" i="10" s="1"/>
  <c r="B203" i="10"/>
  <c r="F203" i="10" s="1"/>
  <c r="B202" i="10"/>
  <c r="F202" i="10" s="1"/>
  <c r="B201" i="10"/>
  <c r="F201" i="10" s="1"/>
  <c r="B200" i="10"/>
  <c r="F200" i="10" s="1"/>
  <c r="B199" i="10"/>
  <c r="B197" i="10"/>
  <c r="F197" i="10" s="1"/>
  <c r="B185" i="10"/>
  <c r="F185" i="10" s="1"/>
  <c r="B184" i="10"/>
  <c r="B183" i="10"/>
  <c r="B182" i="10"/>
  <c r="F182" i="10" s="1"/>
  <c r="B179" i="10"/>
  <c r="B176" i="10"/>
  <c r="B177" i="10"/>
  <c r="B175" i="10"/>
  <c r="F175" i="10" s="1"/>
  <c r="B174" i="10"/>
  <c r="F174" i="10" s="1"/>
  <c r="B167" i="10"/>
  <c r="F167" i="10" s="1"/>
  <c r="B166" i="10"/>
  <c r="F166" i="10" s="1"/>
  <c r="B165" i="10"/>
  <c r="C154" i="10"/>
  <c r="B152" i="10"/>
  <c r="C140" i="10"/>
  <c r="C141" i="10" s="1"/>
  <c r="B139" i="10"/>
  <c r="B135" i="10"/>
  <c r="D126" i="10"/>
  <c r="E126" i="10"/>
  <c r="B124" i="10"/>
  <c r="F124" i="10" s="1"/>
  <c r="B123" i="10"/>
  <c r="C123" i="10"/>
  <c r="C122" i="10"/>
  <c r="C125" i="10" s="1"/>
  <c r="C126" i="10" s="1"/>
  <c r="B121" i="10"/>
  <c r="F121" i="10" s="1"/>
  <c r="B120" i="10"/>
  <c r="F120" i="10" s="1"/>
  <c r="B119" i="10"/>
  <c r="F119" i="10" s="1"/>
  <c r="E110" i="10"/>
  <c r="B108" i="10"/>
  <c r="F108" i="10" s="1"/>
  <c r="C106" i="10"/>
  <c r="F106" i="10" s="1"/>
  <c r="C105" i="10"/>
  <c r="C104" i="10"/>
  <c r="F104" i="10" s="1"/>
  <c r="D102" i="10"/>
  <c r="D109" i="10" s="1"/>
  <c r="D110" i="10" s="1"/>
  <c r="B101" i="10"/>
  <c r="B99" i="10"/>
  <c r="B98" i="10"/>
  <c r="B96" i="10"/>
  <c r="F96" i="10" s="1"/>
  <c r="B95" i="10"/>
  <c r="F95" i="10" s="1"/>
  <c r="B94" i="10"/>
  <c r="F94" i="10" s="1"/>
  <c r="B93" i="10"/>
  <c r="B109" i="10" s="1"/>
  <c r="B110" i="10" s="1"/>
  <c r="D181" i="10"/>
  <c r="D180" i="10"/>
  <c r="D194" i="10" s="1"/>
  <c r="D81" i="10"/>
  <c r="F81" i="10" s="1"/>
  <c r="D80" i="10"/>
  <c r="F80" i="10" s="1"/>
  <c r="C74" i="10"/>
  <c r="F74" i="10" s="1"/>
  <c r="AR197" i="9"/>
  <c r="AV197" i="9"/>
  <c r="AF6" i="4"/>
  <c r="AF7" i="4"/>
  <c r="AF8" i="4"/>
  <c r="AF5" i="4"/>
  <c r="Z7" i="4"/>
  <c r="Z6" i="4"/>
  <c r="AR6" i="4" s="1"/>
  <c r="Z5" i="4"/>
  <c r="F220" i="10"/>
  <c r="E220" i="10"/>
  <c r="D220" i="10"/>
  <c r="C220" i="10"/>
  <c r="B220" i="10"/>
  <c r="E216" i="10"/>
  <c r="D216" i="10"/>
  <c r="C216" i="10"/>
  <c r="B216" i="10"/>
  <c r="F215" i="10"/>
  <c r="F214" i="10"/>
  <c r="F213" i="10"/>
  <c r="F212" i="10"/>
  <c r="E207" i="10"/>
  <c r="D207" i="10"/>
  <c r="C207" i="10"/>
  <c r="F204" i="10"/>
  <c r="F198" i="10"/>
  <c r="E194" i="10"/>
  <c r="C194" i="10"/>
  <c r="F192" i="10"/>
  <c r="F191" i="10"/>
  <c r="F190" i="10"/>
  <c r="F189" i="10"/>
  <c r="F188" i="10"/>
  <c r="F187" i="10"/>
  <c r="F186" i="10"/>
  <c r="F184" i="10"/>
  <c r="F183" i="10"/>
  <c r="F181" i="10"/>
  <c r="F180" i="10"/>
  <c r="F179" i="10"/>
  <c r="F177" i="10"/>
  <c r="F176" i="10"/>
  <c r="E171" i="10"/>
  <c r="D171" i="10"/>
  <c r="C171" i="10"/>
  <c r="F169" i="10"/>
  <c r="F165" i="10"/>
  <c r="F163" i="10"/>
  <c r="B162" i="10"/>
  <c r="D159" i="10"/>
  <c r="F158" i="10"/>
  <c r="F155" i="10"/>
  <c r="D154" i="10"/>
  <c r="F152" i="10"/>
  <c r="E149" i="10"/>
  <c r="D149" i="10"/>
  <c r="C149" i="10"/>
  <c r="F147" i="10"/>
  <c r="E141" i="10"/>
  <c r="D141" i="10"/>
  <c r="F137" i="10"/>
  <c r="F136" i="10"/>
  <c r="F135" i="10"/>
  <c r="F131" i="10"/>
  <c r="F130" i="10"/>
  <c r="D129" i="10"/>
  <c r="E128" i="10"/>
  <c r="D128" i="10"/>
  <c r="C128" i="10"/>
  <c r="B128" i="10"/>
  <c r="F128" i="10" s="1"/>
  <c r="D127" i="10"/>
  <c r="E125" i="10"/>
  <c r="D125" i="10"/>
  <c r="E123" i="10"/>
  <c r="F115" i="10"/>
  <c r="F114" i="10"/>
  <c r="E112" i="10"/>
  <c r="D112" i="10"/>
  <c r="C112" i="10"/>
  <c r="B112" i="10"/>
  <c r="E109" i="10"/>
  <c r="F107" i="10"/>
  <c r="F103" i="10"/>
  <c r="F101" i="10"/>
  <c r="F100" i="10"/>
  <c r="F99" i="10"/>
  <c r="F98" i="10"/>
  <c r="F97" i="10"/>
  <c r="F88" i="10"/>
  <c r="E88" i="10"/>
  <c r="D88" i="10"/>
  <c r="C88" i="10"/>
  <c r="B88" i="10"/>
  <c r="E84" i="10"/>
  <c r="E91" i="10" s="1"/>
  <c r="E118" i="10" s="1"/>
  <c r="E134" i="10" s="1"/>
  <c r="E82" i="10"/>
  <c r="F79" i="10"/>
  <c r="F78" i="10"/>
  <c r="F77" i="10"/>
  <c r="F76" i="10"/>
  <c r="F75" i="10"/>
  <c r="F73" i="10"/>
  <c r="F72" i="10"/>
  <c r="B71" i="10"/>
  <c r="F71" i="10" s="1"/>
  <c r="B70" i="10"/>
  <c r="F70" i="10" s="1"/>
  <c r="B69" i="10"/>
  <c r="F69" i="10" s="1"/>
  <c r="F67" i="10"/>
  <c r="F84" i="10" s="1"/>
  <c r="F91" i="10" s="1"/>
  <c r="F118" i="10" s="1"/>
  <c r="F134" i="10" s="1"/>
  <c r="E67" i="10"/>
  <c r="D63" i="10"/>
  <c r="C63" i="10"/>
  <c r="C129" i="10" s="1"/>
  <c r="B63" i="10"/>
  <c r="E61" i="10"/>
  <c r="E64" i="10" s="1"/>
  <c r="D61" i="10"/>
  <c r="D64" i="10" s="1"/>
  <c r="C61" i="10"/>
  <c r="C64" i="10" s="1"/>
  <c r="B61" i="10"/>
  <c r="B64" i="10" s="1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E38" i="10"/>
  <c r="E36" i="10"/>
  <c r="E63" i="10" s="1"/>
  <c r="D36" i="10"/>
  <c r="C36" i="10"/>
  <c r="B36" i="10"/>
  <c r="B154" i="10" s="1"/>
  <c r="F35" i="10"/>
  <c r="F34" i="10"/>
  <c r="F33" i="10"/>
  <c r="F32" i="10"/>
  <c r="F31" i="10"/>
  <c r="F30" i="10"/>
  <c r="F29" i="10"/>
  <c r="F28" i="10"/>
  <c r="F36" i="10" s="1"/>
  <c r="F27" i="10"/>
  <c r="F26" i="10"/>
  <c r="E26" i="10"/>
  <c r="F25" i="10"/>
  <c r="F24" i="10"/>
  <c r="F23" i="10"/>
  <c r="F22" i="10"/>
  <c r="F21" i="10"/>
  <c r="C17" i="10"/>
  <c r="B17" i="10"/>
  <c r="B138" i="10" s="1"/>
  <c r="B3" i="10"/>
  <c r="AG74" i="9"/>
  <c r="Z94" i="9"/>
  <c r="Z95" i="9"/>
  <c r="AR5" i="9"/>
  <c r="AR6" i="9"/>
  <c r="AR7" i="9"/>
  <c r="AR8" i="9"/>
  <c r="AR9" i="9"/>
  <c r="AR3" i="9" s="1"/>
  <c r="AR10" i="9"/>
  <c r="AR11" i="9"/>
  <c r="AR12" i="9"/>
  <c r="AR13" i="9"/>
  <c r="AR14" i="9"/>
  <c r="AR15" i="9"/>
  <c r="AR16" i="9"/>
  <c r="AR4" i="9"/>
  <c r="AR5" i="4"/>
  <c r="AR7" i="4"/>
  <c r="AR8" i="4"/>
  <c r="AR9" i="4"/>
  <c r="AR10" i="4"/>
  <c r="AR11" i="4"/>
  <c r="AR12" i="4"/>
  <c r="AR13" i="4"/>
  <c r="AR14" i="4"/>
  <c r="AR15" i="4"/>
  <c r="AR16" i="4"/>
  <c r="AR4" i="4"/>
  <c r="AR5" i="3"/>
  <c r="AR6" i="3"/>
  <c r="AR7" i="3"/>
  <c r="AR8" i="3"/>
  <c r="AR9" i="3"/>
  <c r="AR10" i="3"/>
  <c r="AR11" i="3"/>
  <c r="AR12" i="3"/>
  <c r="AR13" i="3"/>
  <c r="AR14" i="3"/>
  <c r="AR15" i="3"/>
  <c r="AR16" i="3"/>
  <c r="AR4" i="3"/>
  <c r="B193" i="9"/>
  <c r="H193" i="9"/>
  <c r="AV220" i="9"/>
  <c r="AU220" i="9"/>
  <c r="AT220" i="9"/>
  <c r="AS220" i="9"/>
  <c r="AR220" i="9"/>
  <c r="AU215" i="9"/>
  <c r="AT215" i="9"/>
  <c r="AT216" i="9" s="1"/>
  <c r="AS215" i="9"/>
  <c r="AS216" i="9" s="1"/>
  <c r="AR215" i="9"/>
  <c r="AV215" i="9" s="1"/>
  <c r="AU214" i="9"/>
  <c r="AT214" i="9"/>
  <c r="AS214" i="9"/>
  <c r="AR214" i="9"/>
  <c r="AV214" i="9" s="1"/>
  <c r="AU213" i="9"/>
  <c r="AV213" i="9" s="1"/>
  <c r="AT213" i="9"/>
  <c r="AS213" i="9"/>
  <c r="AR213" i="9"/>
  <c r="AU212" i="9"/>
  <c r="AT212" i="9"/>
  <c r="AS212" i="9"/>
  <c r="AR212" i="9"/>
  <c r="AS207" i="9"/>
  <c r="AU206" i="9"/>
  <c r="AT206" i="9"/>
  <c r="AS206" i="9"/>
  <c r="AR206" i="9"/>
  <c r="AV206" i="9" s="1"/>
  <c r="AV205" i="9"/>
  <c r="AU205" i="9"/>
  <c r="AT205" i="9"/>
  <c r="AS205" i="9"/>
  <c r="AR205" i="9"/>
  <c r="AV204" i="9"/>
  <c r="AU204" i="9"/>
  <c r="AT204" i="9"/>
  <c r="AS204" i="9"/>
  <c r="AR204" i="9"/>
  <c r="AU203" i="9"/>
  <c r="AT203" i="9"/>
  <c r="AV203" i="9" s="1"/>
  <c r="AS203" i="9"/>
  <c r="AR203" i="9"/>
  <c r="AU202" i="9"/>
  <c r="AT202" i="9"/>
  <c r="AS202" i="9"/>
  <c r="AR202" i="9"/>
  <c r="AU201" i="9"/>
  <c r="AT201" i="9"/>
  <c r="AS201" i="9"/>
  <c r="AR201" i="9"/>
  <c r="AV201" i="9" s="1"/>
  <c r="AU200" i="9"/>
  <c r="AT200" i="9"/>
  <c r="AS200" i="9"/>
  <c r="AR200" i="9"/>
  <c r="AV200" i="9" s="1"/>
  <c r="AU199" i="9"/>
  <c r="AT199" i="9"/>
  <c r="AS199" i="9"/>
  <c r="AR199" i="9"/>
  <c r="AV199" i="9" s="1"/>
  <c r="AU198" i="9"/>
  <c r="AV198" i="9" s="1"/>
  <c r="AT198" i="9"/>
  <c r="AS198" i="9"/>
  <c r="AR198" i="9"/>
  <c r="AU197" i="9"/>
  <c r="AT197" i="9"/>
  <c r="AS197" i="9"/>
  <c r="AU193" i="9"/>
  <c r="AT193" i="9"/>
  <c r="AS193" i="9"/>
  <c r="AU192" i="9"/>
  <c r="AT192" i="9"/>
  <c r="AS192" i="9"/>
  <c r="AV192" i="9" s="1"/>
  <c r="AR192" i="9"/>
  <c r="AU191" i="9"/>
  <c r="AT191" i="9"/>
  <c r="AS191" i="9"/>
  <c r="AV191" i="9" s="1"/>
  <c r="AR191" i="9"/>
  <c r="AU190" i="9"/>
  <c r="AT190" i="9"/>
  <c r="AS190" i="9"/>
  <c r="AR190" i="9"/>
  <c r="AV190" i="9" s="1"/>
  <c r="AV189" i="9"/>
  <c r="AU189" i="9"/>
  <c r="AT189" i="9"/>
  <c r="AS189" i="9"/>
  <c r="AR189" i="9"/>
  <c r="AU188" i="9"/>
  <c r="AT188" i="9"/>
  <c r="AS188" i="9"/>
  <c r="AR188" i="9"/>
  <c r="AV188" i="9" s="1"/>
  <c r="AU187" i="9"/>
  <c r="AT187" i="9"/>
  <c r="AV187" i="9" s="1"/>
  <c r="AS187" i="9"/>
  <c r="AR187" i="9"/>
  <c r="AU186" i="9"/>
  <c r="AT186" i="9"/>
  <c r="AV186" i="9" s="1"/>
  <c r="AS186" i="9"/>
  <c r="AR186" i="9"/>
  <c r="AU185" i="9"/>
  <c r="AT185" i="9"/>
  <c r="AS185" i="9"/>
  <c r="AR185" i="9"/>
  <c r="AV185" i="9" s="1"/>
  <c r="AU184" i="9"/>
  <c r="AT184" i="9"/>
  <c r="AS184" i="9"/>
  <c r="AR184" i="9"/>
  <c r="AV184" i="9" s="1"/>
  <c r="AU183" i="9"/>
  <c r="AT183" i="9"/>
  <c r="AS183" i="9"/>
  <c r="AR183" i="9"/>
  <c r="AV183" i="9" s="1"/>
  <c r="AU182" i="9"/>
  <c r="AV182" i="9" s="1"/>
  <c r="AT182" i="9"/>
  <c r="AS182" i="9"/>
  <c r="AR182" i="9"/>
  <c r="AU181" i="9"/>
  <c r="AV181" i="9" s="1"/>
  <c r="AT181" i="9"/>
  <c r="AS181" i="9"/>
  <c r="AR181" i="9"/>
  <c r="AU180" i="9"/>
  <c r="AT180" i="9"/>
  <c r="AS180" i="9"/>
  <c r="AR180" i="9"/>
  <c r="AU179" i="9"/>
  <c r="AT179" i="9"/>
  <c r="AS179" i="9"/>
  <c r="AV179" i="9" s="1"/>
  <c r="AR179" i="9"/>
  <c r="AU178" i="9"/>
  <c r="AT178" i="9"/>
  <c r="AS178" i="9"/>
  <c r="AV177" i="9"/>
  <c r="AU177" i="9"/>
  <c r="AT177" i="9"/>
  <c r="AS177" i="9"/>
  <c r="AR177" i="9"/>
  <c r="AV176" i="9"/>
  <c r="AU176" i="9"/>
  <c r="AT176" i="9"/>
  <c r="AS176" i="9"/>
  <c r="AR176" i="9"/>
  <c r="AU175" i="9"/>
  <c r="AT175" i="9"/>
  <c r="AV175" i="9" s="1"/>
  <c r="AS175" i="9"/>
  <c r="AR175" i="9"/>
  <c r="AU174" i="9"/>
  <c r="AT174" i="9"/>
  <c r="AS174" i="9"/>
  <c r="AR174" i="9"/>
  <c r="AU170" i="9"/>
  <c r="AT170" i="9"/>
  <c r="AS170" i="9"/>
  <c r="AU169" i="9"/>
  <c r="AT169" i="9"/>
  <c r="AS169" i="9"/>
  <c r="AR169" i="9"/>
  <c r="AV169" i="9" s="1"/>
  <c r="AU168" i="9"/>
  <c r="AT168" i="9"/>
  <c r="AS168" i="9"/>
  <c r="AU167" i="9"/>
  <c r="AT167" i="9"/>
  <c r="AS167" i="9"/>
  <c r="AR167" i="9"/>
  <c r="AV167" i="9" s="1"/>
  <c r="AU166" i="9"/>
  <c r="AV166" i="9" s="1"/>
  <c r="AT166" i="9"/>
  <c r="AS166" i="9"/>
  <c r="AR166" i="9"/>
  <c r="AU165" i="9"/>
  <c r="AT165" i="9"/>
  <c r="AS165" i="9"/>
  <c r="AR165" i="9"/>
  <c r="AU164" i="9"/>
  <c r="AT164" i="9"/>
  <c r="AS164" i="9"/>
  <c r="AU163" i="9"/>
  <c r="AT163" i="9"/>
  <c r="AS163" i="9"/>
  <c r="AV163" i="9" s="1"/>
  <c r="AR163" i="9"/>
  <c r="AU162" i="9"/>
  <c r="AT162" i="9"/>
  <c r="AS162" i="9"/>
  <c r="AR162" i="9"/>
  <c r="AU158" i="9"/>
  <c r="AT158" i="9"/>
  <c r="AS158" i="9"/>
  <c r="AR158" i="9"/>
  <c r="AV158" i="9" s="1"/>
  <c r="AU157" i="9"/>
  <c r="AT157" i="9"/>
  <c r="AS157" i="9"/>
  <c r="AU156" i="9"/>
  <c r="AT156" i="9"/>
  <c r="AS156" i="9"/>
  <c r="AU155" i="9"/>
  <c r="AT155" i="9"/>
  <c r="AV155" i="9" s="1"/>
  <c r="AS155" i="9"/>
  <c r="AR155" i="9"/>
  <c r="AU154" i="9"/>
  <c r="AU159" i="9" s="1"/>
  <c r="AT154" i="9"/>
  <c r="AS154" i="9"/>
  <c r="AR154" i="9"/>
  <c r="AU153" i="9"/>
  <c r="AT153" i="9"/>
  <c r="AR153" i="9"/>
  <c r="AU152" i="9"/>
  <c r="AT152" i="9"/>
  <c r="AS152" i="9"/>
  <c r="AR152" i="9"/>
  <c r="AU148" i="9"/>
  <c r="AT148" i="9"/>
  <c r="AS148" i="9"/>
  <c r="AU147" i="9"/>
  <c r="AT147" i="9"/>
  <c r="AS147" i="9"/>
  <c r="AR147" i="9"/>
  <c r="AV147" i="9" s="1"/>
  <c r="AU146" i="9"/>
  <c r="AT146" i="9"/>
  <c r="AS146" i="9"/>
  <c r="AU145" i="9"/>
  <c r="AT145" i="9"/>
  <c r="AS145" i="9"/>
  <c r="AU144" i="9"/>
  <c r="AU149" i="9" s="1"/>
  <c r="AT144" i="9"/>
  <c r="AT149" i="9" s="1"/>
  <c r="AS144" i="9"/>
  <c r="AU141" i="9"/>
  <c r="AU140" i="9"/>
  <c r="AT140" i="9"/>
  <c r="AS140" i="9"/>
  <c r="AV140" i="9" s="1"/>
  <c r="AR140" i="9"/>
  <c r="AU139" i="9"/>
  <c r="AT139" i="9"/>
  <c r="AS139" i="9"/>
  <c r="AU138" i="9"/>
  <c r="AT138" i="9"/>
  <c r="AS138" i="9"/>
  <c r="AV137" i="9"/>
  <c r="AU137" i="9"/>
  <c r="AT137" i="9"/>
  <c r="AS137" i="9"/>
  <c r="AR137" i="9"/>
  <c r="AV136" i="9"/>
  <c r="AU136" i="9"/>
  <c r="AT136" i="9"/>
  <c r="AS136" i="9"/>
  <c r="AS141" i="9" s="1"/>
  <c r="AR136" i="9"/>
  <c r="AU135" i="9"/>
  <c r="AT135" i="9"/>
  <c r="AS135" i="9"/>
  <c r="AR135" i="9"/>
  <c r="AU131" i="9"/>
  <c r="AT131" i="9"/>
  <c r="AV131" i="9" s="1"/>
  <c r="AS131" i="9"/>
  <c r="AR131" i="9"/>
  <c r="AU130" i="9"/>
  <c r="AT130" i="9"/>
  <c r="AV130" i="9" s="1"/>
  <c r="AS130" i="9"/>
  <c r="AR130" i="9"/>
  <c r="AU129" i="9"/>
  <c r="AT129" i="9"/>
  <c r="AS129" i="9"/>
  <c r="AR129" i="9"/>
  <c r="AV129" i="9" s="1"/>
  <c r="AU128" i="9"/>
  <c r="AT128" i="9"/>
  <c r="AS128" i="9"/>
  <c r="AR128" i="9"/>
  <c r="AV128" i="9" s="1"/>
  <c r="AU127" i="9"/>
  <c r="AT127" i="9"/>
  <c r="AS127" i="9"/>
  <c r="AR127" i="9"/>
  <c r="AV127" i="9" s="1"/>
  <c r="AU126" i="9"/>
  <c r="AT126" i="9"/>
  <c r="AS126" i="9"/>
  <c r="AR126" i="9"/>
  <c r="AU125" i="9"/>
  <c r="AU124" i="9"/>
  <c r="AT124" i="9"/>
  <c r="AS124" i="9"/>
  <c r="AV124" i="9" s="1"/>
  <c r="AR124" i="9"/>
  <c r="AU123" i="9"/>
  <c r="AT123" i="9"/>
  <c r="AS123" i="9"/>
  <c r="AV123" i="9" s="1"/>
  <c r="AR123" i="9"/>
  <c r="AU122" i="9"/>
  <c r="AT122" i="9"/>
  <c r="AS122" i="9"/>
  <c r="AR122" i="9"/>
  <c r="AV122" i="9" s="1"/>
  <c r="AV121" i="9"/>
  <c r="AU121" i="9"/>
  <c r="AT121" i="9"/>
  <c r="AS121" i="9"/>
  <c r="AR121" i="9"/>
  <c r="AV120" i="9"/>
  <c r="AU120" i="9"/>
  <c r="AT120" i="9"/>
  <c r="AS120" i="9"/>
  <c r="AR120" i="9"/>
  <c r="AU119" i="9"/>
  <c r="AT119" i="9"/>
  <c r="AS119" i="9"/>
  <c r="AR119" i="9"/>
  <c r="AR125" i="9" s="1"/>
  <c r="AU115" i="9"/>
  <c r="AT115" i="9"/>
  <c r="AV115" i="9" s="1"/>
  <c r="AS115" i="9"/>
  <c r="AR115" i="9"/>
  <c r="AU114" i="9"/>
  <c r="AT114" i="9"/>
  <c r="AV114" i="9" s="1"/>
  <c r="AS114" i="9"/>
  <c r="AR114" i="9"/>
  <c r="AU113" i="9"/>
  <c r="AT113" i="9"/>
  <c r="AS113" i="9"/>
  <c r="AR113" i="9"/>
  <c r="AV113" i="9" s="1"/>
  <c r="AU112" i="9"/>
  <c r="AT112" i="9"/>
  <c r="AS112" i="9"/>
  <c r="AR112" i="9"/>
  <c r="AV112" i="9" s="1"/>
  <c r="AU111" i="9"/>
  <c r="AT111" i="9"/>
  <c r="AS111" i="9"/>
  <c r="AU110" i="9"/>
  <c r="AT110" i="9"/>
  <c r="AS110" i="9"/>
  <c r="AS116" i="9" s="1"/>
  <c r="AU109" i="9"/>
  <c r="AU108" i="9"/>
  <c r="AT108" i="9"/>
  <c r="AS108" i="9"/>
  <c r="AV108" i="9" s="1"/>
  <c r="AR108" i="9"/>
  <c r="AU107" i="9"/>
  <c r="AT107" i="9"/>
  <c r="AS107" i="9"/>
  <c r="AV107" i="9" s="1"/>
  <c r="AR107" i="9"/>
  <c r="AU106" i="9"/>
  <c r="AT106" i="9"/>
  <c r="AS106" i="9"/>
  <c r="AR106" i="9"/>
  <c r="AV106" i="9" s="1"/>
  <c r="AV105" i="9"/>
  <c r="AU105" i="9"/>
  <c r="AT105" i="9"/>
  <c r="AS105" i="9"/>
  <c r="AR105" i="9"/>
  <c r="AV104" i="9"/>
  <c r="AU104" i="9"/>
  <c r="AT104" i="9"/>
  <c r="AS104" i="9"/>
  <c r="AR104" i="9"/>
  <c r="AU103" i="9"/>
  <c r="AT103" i="9"/>
  <c r="AV103" i="9" s="1"/>
  <c r="AS103" i="9"/>
  <c r="AR103" i="9"/>
  <c r="AU102" i="9"/>
  <c r="AT102" i="9"/>
  <c r="AV102" i="9" s="1"/>
  <c r="AS102" i="9"/>
  <c r="AR102" i="9"/>
  <c r="AU101" i="9"/>
  <c r="AT101" i="9"/>
  <c r="AS101" i="9"/>
  <c r="AR101" i="9"/>
  <c r="AV101" i="9" s="1"/>
  <c r="AU100" i="9"/>
  <c r="AT100" i="9"/>
  <c r="AS100" i="9"/>
  <c r="AR100" i="9"/>
  <c r="AV100" i="9" s="1"/>
  <c r="AU99" i="9"/>
  <c r="AT99" i="9"/>
  <c r="AS99" i="9"/>
  <c r="AR99" i="9"/>
  <c r="AV99" i="9" s="1"/>
  <c r="AU98" i="9"/>
  <c r="AV98" i="9" s="1"/>
  <c r="AT98" i="9"/>
  <c r="AS98" i="9"/>
  <c r="AR98" i="9"/>
  <c r="AU97" i="9"/>
  <c r="AV97" i="9" s="1"/>
  <c r="AT97" i="9"/>
  <c r="AS97" i="9"/>
  <c r="AR97" i="9"/>
  <c r="AU96" i="9"/>
  <c r="AT96" i="9"/>
  <c r="AS96" i="9"/>
  <c r="AV96" i="9" s="1"/>
  <c r="AR96" i="9"/>
  <c r="AU95" i="9"/>
  <c r="AT95" i="9"/>
  <c r="AS95" i="9"/>
  <c r="AV95" i="9" s="1"/>
  <c r="AR95" i="9"/>
  <c r="AU94" i="9"/>
  <c r="AT94" i="9"/>
  <c r="AS94" i="9"/>
  <c r="AR94" i="9"/>
  <c r="AV94" i="9" s="1"/>
  <c r="AV93" i="9"/>
  <c r="AU93" i="9"/>
  <c r="AT93" i="9"/>
  <c r="AS93" i="9"/>
  <c r="AR93" i="9"/>
  <c r="AV87" i="9"/>
  <c r="AU87" i="9"/>
  <c r="AT87" i="9"/>
  <c r="AS87" i="9"/>
  <c r="AS88" i="9" s="1"/>
  <c r="AR87" i="9"/>
  <c r="AR88" i="9" s="1"/>
  <c r="AV86" i="9"/>
  <c r="AU86" i="9"/>
  <c r="AT86" i="9"/>
  <c r="AS86" i="9"/>
  <c r="AR86" i="9"/>
  <c r="AU85" i="9"/>
  <c r="AU88" i="9" s="1"/>
  <c r="AT85" i="9"/>
  <c r="AS85" i="9"/>
  <c r="AR85" i="9"/>
  <c r="AU84" i="9"/>
  <c r="AU91" i="9" s="1"/>
  <c r="AU118" i="9" s="1"/>
  <c r="AU134" i="9" s="1"/>
  <c r="AU81" i="9"/>
  <c r="AT81" i="9"/>
  <c r="AV81" i="9" s="1"/>
  <c r="AS81" i="9"/>
  <c r="AR81" i="9"/>
  <c r="AU80" i="9"/>
  <c r="AT80" i="9"/>
  <c r="AV80" i="9" s="1"/>
  <c r="AS80" i="9"/>
  <c r="AR80" i="9"/>
  <c r="AU79" i="9"/>
  <c r="AT79" i="9"/>
  <c r="AS79" i="9"/>
  <c r="AR79" i="9"/>
  <c r="AV79" i="9" s="1"/>
  <c r="AU78" i="9"/>
  <c r="AT78" i="9"/>
  <c r="AS78" i="9"/>
  <c r="AR78" i="9"/>
  <c r="AV78" i="9" s="1"/>
  <c r="AU77" i="9"/>
  <c r="AT77" i="9"/>
  <c r="AS77" i="9"/>
  <c r="AR77" i="9"/>
  <c r="AV77" i="9" s="1"/>
  <c r="AU76" i="9"/>
  <c r="AT76" i="9"/>
  <c r="AS76" i="9"/>
  <c r="AR76" i="9"/>
  <c r="AU75" i="9"/>
  <c r="AV75" i="9" s="1"/>
  <c r="AT75" i="9"/>
  <c r="AS75" i="9"/>
  <c r="AR75" i="9"/>
  <c r="AU74" i="9"/>
  <c r="AT74" i="9"/>
  <c r="AS74" i="9"/>
  <c r="AV74" i="9" s="1"/>
  <c r="AR74" i="9"/>
  <c r="AU73" i="9"/>
  <c r="AT73" i="9"/>
  <c r="AS73" i="9"/>
  <c r="AV73" i="9" s="1"/>
  <c r="AR73" i="9"/>
  <c r="AU72" i="9"/>
  <c r="AT72" i="9"/>
  <c r="AS72" i="9"/>
  <c r="AR72" i="9"/>
  <c r="AV72" i="9" s="1"/>
  <c r="AV71" i="9"/>
  <c r="AU71" i="9"/>
  <c r="AT71" i="9"/>
  <c r="AS71" i="9"/>
  <c r="AR71" i="9"/>
  <c r="AV70" i="9"/>
  <c r="AU70" i="9"/>
  <c r="AT70" i="9"/>
  <c r="AS70" i="9"/>
  <c r="AR70" i="9"/>
  <c r="AU69" i="9"/>
  <c r="AT69" i="9"/>
  <c r="AV69" i="9" s="1"/>
  <c r="AS69" i="9"/>
  <c r="AR69" i="9"/>
  <c r="AU68" i="9"/>
  <c r="AT68" i="9"/>
  <c r="AS68" i="9"/>
  <c r="AV67" i="9"/>
  <c r="AV84" i="9" s="1"/>
  <c r="AV91" i="9" s="1"/>
  <c r="AV118" i="9" s="1"/>
  <c r="AV134" i="9" s="1"/>
  <c r="AU67" i="9"/>
  <c r="AU60" i="9"/>
  <c r="AT60" i="9"/>
  <c r="AS60" i="9"/>
  <c r="AR60" i="9"/>
  <c r="AV60" i="9" s="1"/>
  <c r="AU59" i="9"/>
  <c r="AV59" i="9" s="1"/>
  <c r="AT59" i="9"/>
  <c r="AS59" i="9"/>
  <c r="AR59" i="9"/>
  <c r="AU58" i="9"/>
  <c r="AV58" i="9" s="1"/>
  <c r="AT58" i="9"/>
  <c r="AS58" i="9"/>
  <c r="AR58" i="9"/>
  <c r="AU57" i="9"/>
  <c r="AT57" i="9"/>
  <c r="AS57" i="9"/>
  <c r="AV57" i="9" s="1"/>
  <c r="AR57" i="9"/>
  <c r="AU56" i="9"/>
  <c r="AT56" i="9"/>
  <c r="AS56" i="9"/>
  <c r="AV56" i="9" s="1"/>
  <c r="AR56" i="9"/>
  <c r="AU55" i="9"/>
  <c r="AT55" i="9"/>
  <c r="AS55" i="9"/>
  <c r="AR55" i="9"/>
  <c r="AV55" i="9" s="1"/>
  <c r="AV54" i="9"/>
  <c r="AU54" i="9"/>
  <c r="AT54" i="9"/>
  <c r="AS54" i="9"/>
  <c r="AR54" i="9"/>
  <c r="AV53" i="9"/>
  <c r="AU53" i="9"/>
  <c r="AT53" i="9"/>
  <c r="AS53" i="9"/>
  <c r="AR53" i="9"/>
  <c r="AU52" i="9"/>
  <c r="AT52" i="9"/>
  <c r="AV52" i="9" s="1"/>
  <c r="AS52" i="9"/>
  <c r="AR52" i="9"/>
  <c r="AU51" i="9"/>
  <c r="AT51" i="9"/>
  <c r="AV51" i="9" s="1"/>
  <c r="AS51" i="9"/>
  <c r="AR51" i="9"/>
  <c r="AU50" i="9"/>
  <c r="AT50" i="9"/>
  <c r="AS50" i="9"/>
  <c r="AR50" i="9"/>
  <c r="AV50" i="9" s="1"/>
  <c r="AU49" i="9"/>
  <c r="AT49" i="9"/>
  <c r="AS49" i="9"/>
  <c r="AR49" i="9"/>
  <c r="AV49" i="9" s="1"/>
  <c r="AU48" i="9"/>
  <c r="AT48" i="9"/>
  <c r="AS48" i="9"/>
  <c r="AR48" i="9"/>
  <c r="AV48" i="9" s="1"/>
  <c r="AU47" i="9"/>
  <c r="AV47" i="9" s="1"/>
  <c r="AT47" i="9"/>
  <c r="AS47" i="9"/>
  <c r="AR47" i="9"/>
  <c r="AU46" i="9"/>
  <c r="AV46" i="9" s="1"/>
  <c r="AT46" i="9"/>
  <c r="AS46" i="9"/>
  <c r="AR46" i="9"/>
  <c r="AU45" i="9"/>
  <c r="AT45" i="9"/>
  <c r="AS45" i="9"/>
  <c r="AV45" i="9" s="1"/>
  <c r="AR45" i="9"/>
  <c r="AU44" i="9"/>
  <c r="AT44" i="9"/>
  <c r="AS44" i="9"/>
  <c r="AR44" i="9"/>
  <c r="AU43" i="9"/>
  <c r="AT43" i="9"/>
  <c r="AS43" i="9"/>
  <c r="AR43" i="9"/>
  <c r="AV43" i="9" s="1"/>
  <c r="AV42" i="9"/>
  <c r="AU42" i="9"/>
  <c r="AT42" i="9"/>
  <c r="AS42" i="9"/>
  <c r="AR42" i="9"/>
  <c r="AV41" i="9"/>
  <c r="AU41" i="9"/>
  <c r="AT41" i="9"/>
  <c r="AS41" i="9"/>
  <c r="AR41" i="9"/>
  <c r="AU40" i="9"/>
  <c r="AT40" i="9"/>
  <c r="AV40" i="9" s="1"/>
  <c r="AS40" i="9"/>
  <c r="AR40" i="9"/>
  <c r="AU39" i="9"/>
  <c r="AT39" i="9"/>
  <c r="AS39" i="9"/>
  <c r="AR39" i="9"/>
  <c r="AV38" i="9"/>
  <c r="AU38" i="9"/>
  <c r="AT36" i="9"/>
  <c r="AT63" i="9" s="1"/>
  <c r="AU35" i="9"/>
  <c r="AT35" i="9"/>
  <c r="AV35" i="9" s="1"/>
  <c r="AS35" i="9"/>
  <c r="AR35" i="9"/>
  <c r="AU34" i="9"/>
  <c r="AT34" i="9"/>
  <c r="AS34" i="9"/>
  <c r="AR34" i="9"/>
  <c r="AV34" i="9" s="1"/>
  <c r="AU33" i="9"/>
  <c r="AT33" i="9"/>
  <c r="AS33" i="9"/>
  <c r="AR33" i="9"/>
  <c r="AV33" i="9" s="1"/>
  <c r="AU32" i="9"/>
  <c r="AT32" i="9"/>
  <c r="AS32" i="9"/>
  <c r="AR32" i="9"/>
  <c r="AV32" i="9" s="1"/>
  <c r="AU31" i="9"/>
  <c r="AV31" i="9" s="1"/>
  <c r="AT31" i="9"/>
  <c r="AS31" i="9"/>
  <c r="AR31" i="9"/>
  <c r="AU30" i="9"/>
  <c r="AT30" i="9"/>
  <c r="AS30" i="9"/>
  <c r="AR30" i="9"/>
  <c r="AU29" i="9"/>
  <c r="AT29" i="9"/>
  <c r="AS29" i="9"/>
  <c r="AV29" i="9" s="1"/>
  <c r="AR29" i="9"/>
  <c r="AU28" i="9"/>
  <c r="AT28" i="9"/>
  <c r="AS28" i="9"/>
  <c r="AV28" i="9" s="1"/>
  <c r="AR28" i="9"/>
  <c r="AU27" i="9"/>
  <c r="AT27" i="9"/>
  <c r="AS27" i="9"/>
  <c r="AR27" i="9"/>
  <c r="AV26" i="9"/>
  <c r="AU26" i="9"/>
  <c r="AU25" i="9"/>
  <c r="AS25" i="9"/>
  <c r="AR25" i="9"/>
  <c r="AV25" i="9" s="1"/>
  <c r="AU24" i="9"/>
  <c r="AT24" i="9"/>
  <c r="AS24" i="9"/>
  <c r="AR24" i="9"/>
  <c r="AV24" i="9" s="1"/>
  <c r="AU23" i="9"/>
  <c r="AV23" i="9" s="1"/>
  <c r="AT23" i="9"/>
  <c r="AS23" i="9"/>
  <c r="AR23" i="9"/>
  <c r="AU22" i="9"/>
  <c r="AV22" i="9" s="1"/>
  <c r="AT22" i="9"/>
  <c r="AS22" i="9"/>
  <c r="AR22" i="9"/>
  <c r="AU21" i="9"/>
  <c r="AT21" i="9"/>
  <c r="AS21" i="9"/>
  <c r="AV21" i="9" s="1"/>
  <c r="AR21" i="9"/>
  <c r="AR2" i="9"/>
  <c r="D4" i="18"/>
  <c r="I47" i="18" s="1"/>
  <c r="J47" i="18" s="1"/>
  <c r="Z212" i="9"/>
  <c r="AD212" i="9" s="1"/>
  <c r="AD216" i="9" s="1"/>
  <c r="Z203" i="9"/>
  <c r="Z206" i="9"/>
  <c r="Z205" i="9"/>
  <c r="Z202" i="9"/>
  <c r="Z201" i="9"/>
  <c r="Z200" i="9"/>
  <c r="AD200" i="9" s="1"/>
  <c r="Z199" i="9"/>
  <c r="AD199" i="9" s="1"/>
  <c r="Z197" i="9"/>
  <c r="Z207" i="9" s="1"/>
  <c r="Z185" i="9"/>
  <c r="Z184" i="9"/>
  <c r="Z183" i="9"/>
  <c r="Z182" i="9"/>
  <c r="Z178" i="9"/>
  <c r="Z177" i="9"/>
  <c r="Z176" i="9"/>
  <c r="Z175" i="9"/>
  <c r="Z174" i="9"/>
  <c r="Z168" i="9"/>
  <c r="Z164" i="9"/>
  <c r="Z154" i="9"/>
  <c r="AA154" i="9"/>
  <c r="AA153" i="9"/>
  <c r="Z152" i="9"/>
  <c r="Z148" i="9"/>
  <c r="Z146" i="9"/>
  <c r="Z145" i="9"/>
  <c r="Z144" i="9"/>
  <c r="AA140" i="9"/>
  <c r="Z139" i="9"/>
  <c r="Z138" i="9"/>
  <c r="Z135" i="9"/>
  <c r="AB127" i="9"/>
  <c r="AC127" i="9"/>
  <c r="AA127" i="9"/>
  <c r="Z127" i="9"/>
  <c r="AC126" i="9"/>
  <c r="AB126" i="9"/>
  <c r="AA126" i="9"/>
  <c r="Z126" i="9"/>
  <c r="Z123" i="9"/>
  <c r="AA123" i="9"/>
  <c r="AA122" i="9"/>
  <c r="Z121" i="9"/>
  <c r="Z119" i="9"/>
  <c r="AC111" i="9"/>
  <c r="AB111" i="9"/>
  <c r="AC110" i="9"/>
  <c r="AB110" i="9"/>
  <c r="AA110" i="9"/>
  <c r="AB103" i="9"/>
  <c r="Z101" i="9"/>
  <c r="Z99" i="9"/>
  <c r="Z98" i="9"/>
  <c r="Z93" i="9"/>
  <c r="AA74" i="9"/>
  <c r="Z10" i="9"/>
  <c r="AD220" i="9"/>
  <c r="AC220" i="9"/>
  <c r="AB220" i="9"/>
  <c r="AA220" i="9"/>
  <c r="Z220" i="9"/>
  <c r="AC216" i="9"/>
  <c r="AB216" i="9"/>
  <c r="AA216" i="9"/>
  <c r="Z216" i="9"/>
  <c r="AD215" i="9"/>
  <c r="AD214" i="9"/>
  <c r="AD213" i="9"/>
  <c r="AC207" i="9"/>
  <c r="AB207" i="9"/>
  <c r="AA207" i="9"/>
  <c r="AD206" i="9"/>
  <c r="AD205" i="9"/>
  <c r="AD204" i="9"/>
  <c r="AD203" i="9"/>
  <c r="AD202" i="9"/>
  <c r="AD201" i="9"/>
  <c r="AD198" i="9"/>
  <c r="AC194" i="9"/>
  <c r="AB194" i="9"/>
  <c r="AA194" i="9"/>
  <c r="AD192" i="9"/>
  <c r="AD191" i="9"/>
  <c r="AD190" i="9"/>
  <c r="AD189" i="9"/>
  <c r="AD188" i="9"/>
  <c r="AD187" i="9"/>
  <c r="AD186" i="9"/>
  <c r="AD185" i="9"/>
  <c r="AD184" i="9"/>
  <c r="AD183" i="9"/>
  <c r="AD182" i="9"/>
  <c r="AD181" i="9"/>
  <c r="AD180" i="9"/>
  <c r="AD179" i="9"/>
  <c r="AD177" i="9"/>
  <c r="AD175" i="9"/>
  <c r="AD174" i="9"/>
  <c r="AC171" i="9"/>
  <c r="AB171" i="9"/>
  <c r="AA171" i="9"/>
  <c r="AD169" i="9"/>
  <c r="AD167" i="9"/>
  <c r="AD166" i="9"/>
  <c r="AD165" i="9"/>
  <c r="AD163" i="9"/>
  <c r="AD162" i="9"/>
  <c r="AD158" i="9"/>
  <c r="AD155" i="9"/>
  <c r="AC149" i="9"/>
  <c r="AB149" i="9"/>
  <c r="AA149" i="9"/>
  <c r="AD147" i="9"/>
  <c r="AC141" i="9"/>
  <c r="AB141" i="9"/>
  <c r="AA141" i="9"/>
  <c r="AD137" i="9"/>
  <c r="AD136" i="9"/>
  <c r="AD131" i="9"/>
  <c r="AD130" i="9"/>
  <c r="AC125" i="9"/>
  <c r="AB125" i="9"/>
  <c r="AD124" i="9"/>
  <c r="Z124" i="9"/>
  <c r="AC123" i="9"/>
  <c r="AB123" i="9"/>
  <c r="AD120" i="9"/>
  <c r="AD119" i="9"/>
  <c r="AD115" i="9"/>
  <c r="AD114" i="9"/>
  <c r="AC112" i="9"/>
  <c r="AB112" i="9"/>
  <c r="AA112" i="9"/>
  <c r="Z112" i="9"/>
  <c r="AD112" i="9" s="1"/>
  <c r="AC109" i="9"/>
  <c r="AA109" i="9"/>
  <c r="AD108" i="9"/>
  <c r="AD107" i="9"/>
  <c r="AD106" i="9"/>
  <c r="AD105" i="9"/>
  <c r="AD104" i="9"/>
  <c r="AD103" i="9"/>
  <c r="AD102" i="9"/>
  <c r="AD101" i="9"/>
  <c r="AD100" i="9"/>
  <c r="AD99" i="9"/>
  <c r="AD98" i="9"/>
  <c r="AD97" i="9"/>
  <c r="AD96" i="9"/>
  <c r="AD95" i="9"/>
  <c r="AD94" i="9"/>
  <c r="AD88" i="9"/>
  <c r="AC88" i="9"/>
  <c r="AB88" i="9"/>
  <c r="AA88" i="9"/>
  <c r="Z88" i="9"/>
  <c r="AC82" i="9"/>
  <c r="AB82" i="9"/>
  <c r="AD81" i="9"/>
  <c r="AD80" i="9"/>
  <c r="AD79" i="9"/>
  <c r="AD78" i="9"/>
  <c r="AD77" i="9"/>
  <c r="AD76" i="9"/>
  <c r="AA75" i="9"/>
  <c r="AD75" i="9" s="1"/>
  <c r="AD73" i="9"/>
  <c r="AD72" i="9"/>
  <c r="Z70" i="9"/>
  <c r="AD70" i="9" s="1"/>
  <c r="Z69" i="9"/>
  <c r="AD69" i="9" s="1"/>
  <c r="AD67" i="9"/>
  <c r="AD84" i="9" s="1"/>
  <c r="AD91" i="9" s="1"/>
  <c r="AD118" i="9" s="1"/>
  <c r="AD134" i="9" s="1"/>
  <c r="AC67" i="9"/>
  <c r="AC84" i="9" s="1"/>
  <c r="AC91" i="9" s="1"/>
  <c r="AC118" i="9" s="1"/>
  <c r="AC134" i="9" s="1"/>
  <c r="AC64" i="9"/>
  <c r="AB64" i="9"/>
  <c r="AA64" i="9"/>
  <c r="AA113" i="9" s="1"/>
  <c r="AC63" i="9"/>
  <c r="AC61" i="9"/>
  <c r="AB61" i="9"/>
  <c r="AA61" i="9"/>
  <c r="Z61" i="9"/>
  <c r="Z64" i="9" s="1"/>
  <c r="AD60" i="9"/>
  <c r="AD59" i="9"/>
  <c r="AD58" i="9"/>
  <c r="AD57" i="9"/>
  <c r="AD56" i="9"/>
  <c r="AD55" i="9"/>
  <c r="AD54" i="9"/>
  <c r="AD53" i="9"/>
  <c r="AD52" i="9"/>
  <c r="AD51" i="9"/>
  <c r="AD50" i="9"/>
  <c r="AD49" i="9"/>
  <c r="AD48" i="9"/>
  <c r="AD47" i="9"/>
  <c r="AD46" i="9"/>
  <c r="AD45" i="9"/>
  <c r="AD44" i="9"/>
  <c r="AD43" i="9"/>
  <c r="AD42" i="9"/>
  <c r="AD41" i="9"/>
  <c r="AD40" i="9"/>
  <c r="AD39" i="9"/>
  <c r="AD38" i="9"/>
  <c r="AC38" i="9"/>
  <c r="AC36" i="9"/>
  <c r="AC154" i="9" s="1"/>
  <c r="AC159" i="9" s="1"/>
  <c r="AB36" i="9"/>
  <c r="AB63" i="9" s="1"/>
  <c r="AA36" i="9"/>
  <c r="AA63" i="9" s="1"/>
  <c r="Z36" i="9"/>
  <c r="AD35" i="9"/>
  <c r="AD34" i="9"/>
  <c r="AD33" i="9"/>
  <c r="AD32" i="9"/>
  <c r="AD31" i="9"/>
  <c r="AD30" i="9"/>
  <c r="AD29" i="9"/>
  <c r="AD28" i="9"/>
  <c r="AD27" i="9"/>
  <c r="AD26" i="9"/>
  <c r="AC26" i="9"/>
  <c r="AD25" i="9"/>
  <c r="AD24" i="9"/>
  <c r="AD23" i="9"/>
  <c r="AD22" i="9"/>
  <c r="AD21" i="9"/>
  <c r="AA17" i="9"/>
  <c r="Z7" i="9"/>
  <c r="Z6" i="9"/>
  <c r="Z5" i="9"/>
  <c r="Z4" i="9"/>
  <c r="Z17" i="9" s="1"/>
  <c r="Z3" i="9"/>
  <c r="Z2" i="9"/>
  <c r="Z71" i="9" s="1"/>
  <c r="AD71" i="9" s="1"/>
  <c r="N206" i="9"/>
  <c r="N205" i="9"/>
  <c r="R205" i="9" s="1"/>
  <c r="N203" i="9"/>
  <c r="N202" i="9"/>
  <c r="N201" i="9"/>
  <c r="N200" i="9"/>
  <c r="R200" i="9" s="1"/>
  <c r="N199" i="9"/>
  <c r="R199" i="9" s="1"/>
  <c r="N198" i="9"/>
  <c r="R198" i="9" s="1"/>
  <c r="N197" i="9"/>
  <c r="N185" i="9"/>
  <c r="R185" i="9" s="1"/>
  <c r="N184" i="9"/>
  <c r="R184" i="9" s="1"/>
  <c r="N183" i="9"/>
  <c r="N182" i="9"/>
  <c r="R182" i="9" s="1"/>
  <c r="N179" i="9"/>
  <c r="R179" i="9" s="1"/>
  <c r="N177" i="9"/>
  <c r="N176" i="9"/>
  <c r="R176" i="9" s="1"/>
  <c r="N175" i="9"/>
  <c r="R175" i="9" s="1"/>
  <c r="N174" i="9"/>
  <c r="R174" i="9" s="1"/>
  <c r="N166" i="4"/>
  <c r="AR166" i="4" s="1"/>
  <c r="AV166" i="4" s="1"/>
  <c r="N168" i="4"/>
  <c r="N167" i="9"/>
  <c r="R167" i="9" s="1"/>
  <c r="N166" i="9"/>
  <c r="R166" i="9" s="1"/>
  <c r="N165" i="9"/>
  <c r="N163" i="9"/>
  <c r="N162" i="9"/>
  <c r="O154" i="9"/>
  <c r="N152" i="9"/>
  <c r="R152" i="9" s="1"/>
  <c r="O140" i="9"/>
  <c r="R140" i="9" s="1"/>
  <c r="N135" i="4"/>
  <c r="N135" i="9"/>
  <c r="N124" i="9"/>
  <c r="R124" i="9" s="1"/>
  <c r="N123" i="9"/>
  <c r="O123" i="9"/>
  <c r="O122" i="9"/>
  <c r="O125" i="9" s="1"/>
  <c r="O126" i="9" s="1"/>
  <c r="N120" i="9"/>
  <c r="R120" i="9" s="1"/>
  <c r="N119" i="9"/>
  <c r="P110" i="9"/>
  <c r="N108" i="9"/>
  <c r="N107" i="9"/>
  <c r="O106" i="9"/>
  <c r="O105" i="9"/>
  <c r="R105" i="9" s="1"/>
  <c r="O104" i="9"/>
  <c r="P102" i="9"/>
  <c r="P109" i="9" s="1"/>
  <c r="N101" i="9"/>
  <c r="N100" i="9"/>
  <c r="N99" i="9"/>
  <c r="R99" i="9" s="1"/>
  <c r="N98" i="9"/>
  <c r="R98" i="9" s="1"/>
  <c r="N95" i="9"/>
  <c r="N94" i="9"/>
  <c r="N93" i="9"/>
  <c r="P181" i="9"/>
  <c r="R181" i="9" s="1"/>
  <c r="P180" i="9"/>
  <c r="P81" i="9"/>
  <c r="P80" i="9"/>
  <c r="O74" i="9"/>
  <c r="O17" i="9"/>
  <c r="R220" i="9"/>
  <c r="Q220" i="9"/>
  <c r="P220" i="9"/>
  <c r="O220" i="9"/>
  <c r="N220" i="9"/>
  <c r="R216" i="9"/>
  <c r="Q216" i="9"/>
  <c r="P216" i="9"/>
  <c r="O216" i="9"/>
  <c r="N216" i="9"/>
  <c r="R215" i="9"/>
  <c r="R214" i="9"/>
  <c r="R213" i="9"/>
  <c r="R212" i="9"/>
  <c r="Q207" i="9"/>
  <c r="P207" i="9"/>
  <c r="O207" i="9"/>
  <c r="R206" i="9"/>
  <c r="R204" i="9"/>
  <c r="R203" i="9"/>
  <c r="R202" i="9"/>
  <c r="R201" i="9"/>
  <c r="Q194" i="9"/>
  <c r="O194" i="9"/>
  <c r="R192" i="9"/>
  <c r="R191" i="9"/>
  <c r="R190" i="9"/>
  <c r="R189" i="9"/>
  <c r="N188" i="9"/>
  <c r="R188" i="9" s="1"/>
  <c r="R187" i="9"/>
  <c r="R186" i="9"/>
  <c r="R183" i="9"/>
  <c r="Q171" i="9"/>
  <c r="P171" i="9"/>
  <c r="O171" i="9"/>
  <c r="R169" i="9"/>
  <c r="R165" i="9"/>
  <c r="R162" i="9"/>
  <c r="R158" i="9"/>
  <c r="R155" i="9"/>
  <c r="Q149" i="9"/>
  <c r="P149" i="9"/>
  <c r="O149" i="9"/>
  <c r="R147" i="9"/>
  <c r="Q141" i="9"/>
  <c r="P141" i="9"/>
  <c r="R137" i="9"/>
  <c r="R136" i="9"/>
  <c r="R131" i="9"/>
  <c r="R130" i="9"/>
  <c r="P125" i="9"/>
  <c r="P126" i="9" s="1"/>
  <c r="Q123" i="9"/>
  <c r="Q125" i="9" s="1"/>
  <c r="Q126" i="9" s="1"/>
  <c r="R122" i="9"/>
  <c r="R119" i="9"/>
  <c r="R115" i="9"/>
  <c r="R114" i="9"/>
  <c r="Q112" i="9"/>
  <c r="P112" i="9"/>
  <c r="O112" i="9"/>
  <c r="N112" i="9"/>
  <c r="R112" i="9" s="1"/>
  <c r="Q109" i="9"/>
  <c r="Q110" i="9" s="1"/>
  <c r="R108" i="9"/>
  <c r="R107" i="9"/>
  <c r="R106" i="9"/>
  <c r="R103" i="9"/>
  <c r="R100" i="9"/>
  <c r="R97" i="9"/>
  <c r="R96" i="9"/>
  <c r="R95" i="9"/>
  <c r="R94" i="9"/>
  <c r="R93" i="9"/>
  <c r="Q88" i="9"/>
  <c r="P88" i="9"/>
  <c r="O88" i="9"/>
  <c r="N88" i="9"/>
  <c r="R87" i="9"/>
  <c r="R86" i="9"/>
  <c r="R85" i="9"/>
  <c r="Q82" i="9"/>
  <c r="R79" i="9"/>
  <c r="R78" i="9"/>
  <c r="R77" i="9"/>
  <c r="R76" i="9"/>
  <c r="R75" i="9"/>
  <c r="R74" i="9"/>
  <c r="R73" i="9"/>
  <c r="R72" i="9"/>
  <c r="N71" i="9"/>
  <c r="R71" i="9" s="1"/>
  <c r="N70" i="9"/>
  <c r="R70" i="9" s="1"/>
  <c r="R67" i="9"/>
  <c r="R84" i="9" s="1"/>
  <c r="R91" i="9" s="1"/>
  <c r="R118" i="9" s="1"/>
  <c r="R134" i="9" s="1"/>
  <c r="Q67" i="9"/>
  <c r="Q84" i="9" s="1"/>
  <c r="Q91" i="9" s="1"/>
  <c r="Q118" i="9" s="1"/>
  <c r="Q134" i="9" s="1"/>
  <c r="O64" i="9"/>
  <c r="N64" i="9"/>
  <c r="N113" i="9" s="1"/>
  <c r="P63" i="9"/>
  <c r="O63" i="9"/>
  <c r="Q61" i="9"/>
  <c r="Q64" i="9" s="1"/>
  <c r="P61" i="9"/>
  <c r="P64" i="9" s="1"/>
  <c r="O61" i="9"/>
  <c r="N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Q38" i="9"/>
  <c r="Q36" i="9"/>
  <c r="Q128" i="9" s="1"/>
  <c r="P36" i="9"/>
  <c r="P128" i="9" s="1"/>
  <c r="O36" i="9"/>
  <c r="O128" i="9" s="1"/>
  <c r="N36" i="9"/>
  <c r="N128" i="9" s="1"/>
  <c r="R35" i="9"/>
  <c r="R34" i="9"/>
  <c r="R33" i="9"/>
  <c r="R32" i="9"/>
  <c r="R31" i="9"/>
  <c r="R30" i="9"/>
  <c r="R29" i="9"/>
  <c r="R28" i="9"/>
  <c r="R27" i="9"/>
  <c r="R26" i="9"/>
  <c r="Q26" i="9"/>
  <c r="R25" i="9"/>
  <c r="R24" i="9"/>
  <c r="R23" i="9"/>
  <c r="R22" i="9"/>
  <c r="R21" i="9"/>
  <c r="N13" i="9"/>
  <c r="N12" i="9"/>
  <c r="N11" i="9"/>
  <c r="N10" i="9"/>
  <c r="N9" i="9"/>
  <c r="N8" i="9"/>
  <c r="N7" i="9"/>
  <c r="N4" i="9"/>
  <c r="N17" i="9" s="1"/>
  <c r="O153" i="9" s="1"/>
  <c r="N3" i="9"/>
  <c r="N2" i="9"/>
  <c r="N69" i="9" s="1"/>
  <c r="R69" i="9" s="1"/>
  <c r="H206" i="9"/>
  <c r="L206" i="9" s="1"/>
  <c r="H205" i="9"/>
  <c r="H203" i="9"/>
  <c r="L203" i="9" s="1"/>
  <c r="H202" i="9"/>
  <c r="H201" i="9"/>
  <c r="L201" i="9" s="1"/>
  <c r="H200" i="9"/>
  <c r="L200" i="9" s="1"/>
  <c r="H199" i="9"/>
  <c r="L199" i="9" s="1"/>
  <c r="H197" i="9"/>
  <c r="H185" i="9"/>
  <c r="L185" i="9" s="1"/>
  <c r="H184" i="9"/>
  <c r="L184" i="9" s="1"/>
  <c r="H183" i="9"/>
  <c r="L183" i="9" s="1"/>
  <c r="H182" i="9"/>
  <c r="L182" i="9" s="1"/>
  <c r="H179" i="9"/>
  <c r="L179" i="9" s="1"/>
  <c r="H177" i="9"/>
  <c r="H176" i="9"/>
  <c r="H175" i="9"/>
  <c r="H174" i="9"/>
  <c r="H168" i="9"/>
  <c r="H167" i="9"/>
  <c r="L167" i="9" s="1"/>
  <c r="H166" i="9"/>
  <c r="L166" i="9" s="1"/>
  <c r="H165" i="9"/>
  <c r="L165" i="9" s="1"/>
  <c r="H164" i="9"/>
  <c r="L164" i="9" s="1"/>
  <c r="H162" i="9"/>
  <c r="L162" i="9" s="1"/>
  <c r="H152" i="9"/>
  <c r="H148" i="9"/>
  <c r="L148" i="9" s="1"/>
  <c r="H146" i="9"/>
  <c r="L146" i="9" s="1"/>
  <c r="H145" i="9"/>
  <c r="H144" i="9"/>
  <c r="I140" i="9"/>
  <c r="H139" i="9"/>
  <c r="H135" i="9"/>
  <c r="L135" i="9" s="1"/>
  <c r="K126" i="9"/>
  <c r="J126" i="9"/>
  <c r="H124" i="9"/>
  <c r="L124" i="9" s="1"/>
  <c r="H123" i="9"/>
  <c r="L123" i="9" s="1"/>
  <c r="I123" i="9"/>
  <c r="I122" i="9"/>
  <c r="L122" i="9" s="1"/>
  <c r="H120" i="9"/>
  <c r="L120" i="9" s="1"/>
  <c r="H119" i="9"/>
  <c r="H108" i="9"/>
  <c r="L108" i="9" s="1"/>
  <c r="I106" i="9"/>
  <c r="I105" i="9"/>
  <c r="I104" i="9"/>
  <c r="L104" i="9" s="1"/>
  <c r="J102" i="9"/>
  <c r="H101" i="9"/>
  <c r="L101" i="9" s="1"/>
  <c r="H99" i="9"/>
  <c r="H98" i="9"/>
  <c r="L98" i="9" s="1"/>
  <c r="H96" i="9"/>
  <c r="L96" i="9" s="1"/>
  <c r="H95" i="9"/>
  <c r="L95" i="9" s="1"/>
  <c r="H94" i="9"/>
  <c r="L94" i="9" s="1"/>
  <c r="H93" i="9"/>
  <c r="J181" i="9"/>
  <c r="L181" i="9" s="1"/>
  <c r="J180" i="9"/>
  <c r="L180" i="9" s="1"/>
  <c r="J81" i="9"/>
  <c r="L81" i="9" s="1"/>
  <c r="J80" i="9"/>
  <c r="I74" i="9"/>
  <c r="L74" i="9" s="1"/>
  <c r="L220" i="9"/>
  <c r="K220" i="9"/>
  <c r="J220" i="9"/>
  <c r="I220" i="9"/>
  <c r="H220" i="9"/>
  <c r="L216" i="9"/>
  <c r="K216" i="9"/>
  <c r="J216" i="9"/>
  <c r="I216" i="9"/>
  <c r="H216" i="9"/>
  <c r="L215" i="9"/>
  <c r="L214" i="9"/>
  <c r="L213" i="9"/>
  <c r="L212" i="9"/>
  <c r="K207" i="9"/>
  <c r="J207" i="9"/>
  <c r="I207" i="9"/>
  <c r="L205" i="9"/>
  <c r="L204" i="9"/>
  <c r="L202" i="9"/>
  <c r="L198" i="9"/>
  <c r="K194" i="9"/>
  <c r="I194" i="9"/>
  <c r="L192" i="9"/>
  <c r="L191" i="9"/>
  <c r="L190" i="9"/>
  <c r="L189" i="9"/>
  <c r="L188" i="9"/>
  <c r="L187" i="9"/>
  <c r="L186" i="9"/>
  <c r="L177" i="9"/>
  <c r="L176" i="9"/>
  <c r="L175" i="9"/>
  <c r="L174" i="9"/>
  <c r="K171" i="9"/>
  <c r="J171" i="9"/>
  <c r="I171" i="9"/>
  <c r="L169" i="9"/>
  <c r="L163" i="9"/>
  <c r="L158" i="9"/>
  <c r="L155" i="9"/>
  <c r="K149" i="9"/>
  <c r="J149" i="9"/>
  <c r="I149" i="9"/>
  <c r="L147" i="9"/>
  <c r="K141" i="9"/>
  <c r="J141" i="9"/>
  <c r="L137" i="9"/>
  <c r="L136" i="9"/>
  <c r="L131" i="9"/>
  <c r="L130" i="9"/>
  <c r="J125" i="9"/>
  <c r="K123" i="9"/>
  <c r="K125" i="9" s="1"/>
  <c r="L115" i="9"/>
  <c r="L114" i="9"/>
  <c r="K112" i="9"/>
  <c r="J112" i="9"/>
  <c r="L112" i="9" s="1"/>
  <c r="I112" i="9"/>
  <c r="H112" i="9"/>
  <c r="K109" i="9"/>
  <c r="K110" i="9" s="1"/>
  <c r="L107" i="9"/>
  <c r="L106" i="9"/>
  <c r="L105" i="9"/>
  <c r="L103" i="9"/>
  <c r="J109" i="9"/>
  <c r="J110" i="9" s="1"/>
  <c r="L100" i="9"/>
  <c r="L99" i="9"/>
  <c r="L97" i="9"/>
  <c r="L88" i="9"/>
  <c r="K88" i="9"/>
  <c r="J88" i="9"/>
  <c r="I88" i="9"/>
  <c r="H88" i="9"/>
  <c r="K82" i="9"/>
  <c r="I82" i="9"/>
  <c r="L79" i="9"/>
  <c r="L78" i="9"/>
  <c r="L77" i="9"/>
  <c r="L76" i="9"/>
  <c r="L75" i="9"/>
  <c r="L73" i="9"/>
  <c r="L72" i="9"/>
  <c r="H71" i="9"/>
  <c r="L71" i="9" s="1"/>
  <c r="H70" i="9"/>
  <c r="L70" i="9" s="1"/>
  <c r="H68" i="9"/>
  <c r="L67" i="9"/>
  <c r="L84" i="9" s="1"/>
  <c r="L91" i="9" s="1"/>
  <c r="L118" i="9" s="1"/>
  <c r="L134" i="9" s="1"/>
  <c r="K67" i="9"/>
  <c r="K84" i="9" s="1"/>
  <c r="K91" i="9" s="1"/>
  <c r="K118" i="9" s="1"/>
  <c r="K134" i="9" s="1"/>
  <c r="K64" i="9"/>
  <c r="K113" i="9" s="1"/>
  <c r="J64" i="9"/>
  <c r="K61" i="9"/>
  <c r="J61" i="9"/>
  <c r="I61" i="9"/>
  <c r="I64" i="9" s="1"/>
  <c r="H61" i="9"/>
  <c r="H64" i="9" s="1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K38" i="9"/>
  <c r="K36" i="9"/>
  <c r="K154" i="9" s="1"/>
  <c r="K159" i="9" s="1"/>
  <c r="J36" i="9"/>
  <c r="J63" i="9" s="1"/>
  <c r="J127" i="9" s="1"/>
  <c r="I36" i="9"/>
  <c r="I154" i="9" s="1"/>
  <c r="H36" i="9"/>
  <c r="L35" i="9"/>
  <c r="L34" i="9"/>
  <c r="L33" i="9"/>
  <c r="L32" i="9"/>
  <c r="L31" i="9"/>
  <c r="L30" i="9"/>
  <c r="L29" i="9"/>
  <c r="L28" i="9"/>
  <c r="L27" i="9"/>
  <c r="L26" i="9"/>
  <c r="K26" i="9"/>
  <c r="L25" i="9"/>
  <c r="L24" i="9"/>
  <c r="L23" i="9"/>
  <c r="L22" i="9"/>
  <c r="L21" i="9"/>
  <c r="I17" i="9"/>
  <c r="H17" i="9"/>
  <c r="H3" i="9"/>
  <c r="H2" i="9"/>
  <c r="H69" i="9" s="1"/>
  <c r="L69" i="9" s="1"/>
  <c r="B206" i="9"/>
  <c r="F206" i="9" s="1"/>
  <c r="B205" i="9"/>
  <c r="F205" i="9" s="1"/>
  <c r="B203" i="9"/>
  <c r="F203" i="9" s="1"/>
  <c r="B202" i="9"/>
  <c r="F202" i="9" s="1"/>
  <c r="B201" i="9"/>
  <c r="F201" i="9" s="1"/>
  <c r="B200" i="9"/>
  <c r="F200" i="9" s="1"/>
  <c r="B199" i="9"/>
  <c r="F199" i="9" s="1"/>
  <c r="B197" i="9"/>
  <c r="B185" i="9"/>
  <c r="B184" i="9"/>
  <c r="B183" i="9"/>
  <c r="F183" i="9" s="1"/>
  <c r="B182" i="9"/>
  <c r="F182" i="9" s="1"/>
  <c r="B179" i="9"/>
  <c r="B177" i="9"/>
  <c r="F177" i="9" s="1"/>
  <c r="B176" i="9"/>
  <c r="B175" i="9"/>
  <c r="B174" i="9"/>
  <c r="B167" i="9"/>
  <c r="F167" i="9" s="1"/>
  <c r="B166" i="9"/>
  <c r="F166" i="9" s="1"/>
  <c r="B165" i="9"/>
  <c r="B162" i="9"/>
  <c r="F162" i="9" s="1"/>
  <c r="B154" i="9"/>
  <c r="C154" i="9"/>
  <c r="B152" i="9"/>
  <c r="C140" i="9"/>
  <c r="B135" i="9"/>
  <c r="F135" i="9" s="1"/>
  <c r="C126" i="9"/>
  <c r="D126" i="9"/>
  <c r="B124" i="9"/>
  <c r="B123" i="9"/>
  <c r="C123" i="9"/>
  <c r="C122" i="9"/>
  <c r="B121" i="9"/>
  <c r="F121" i="9" s="1"/>
  <c r="B120" i="9"/>
  <c r="B119" i="9"/>
  <c r="B108" i="9"/>
  <c r="F108" i="9" s="1"/>
  <c r="C106" i="9"/>
  <c r="C105" i="9"/>
  <c r="F105" i="9" s="1"/>
  <c r="C104" i="9"/>
  <c r="D102" i="9"/>
  <c r="D109" i="9" s="1"/>
  <c r="D110" i="9" s="1"/>
  <c r="B101" i="9"/>
  <c r="F101" i="9" s="1"/>
  <c r="B99" i="9"/>
  <c r="F99" i="9" s="1"/>
  <c r="B98" i="9"/>
  <c r="F98" i="9" s="1"/>
  <c r="B96" i="9"/>
  <c r="F96" i="9" s="1"/>
  <c r="B95" i="9"/>
  <c r="B94" i="9"/>
  <c r="B93" i="9"/>
  <c r="D181" i="9"/>
  <c r="D180" i="9"/>
  <c r="D81" i="9"/>
  <c r="D80" i="9"/>
  <c r="F80" i="9" s="1"/>
  <c r="C74" i="9"/>
  <c r="F74" i="9" s="1"/>
  <c r="F220" i="9"/>
  <c r="E220" i="9"/>
  <c r="D220" i="9"/>
  <c r="C220" i="9"/>
  <c r="B220" i="9"/>
  <c r="E216" i="9"/>
  <c r="D216" i="9"/>
  <c r="C216" i="9"/>
  <c r="B216" i="9"/>
  <c r="F215" i="9"/>
  <c r="F214" i="9"/>
  <c r="F213" i="9"/>
  <c r="F212" i="9"/>
  <c r="F216" i="9" s="1"/>
  <c r="E207" i="9"/>
  <c r="D207" i="9"/>
  <c r="C207" i="9"/>
  <c r="F204" i="9"/>
  <c r="F198" i="9"/>
  <c r="E194" i="9"/>
  <c r="D194" i="9"/>
  <c r="C194" i="9"/>
  <c r="F192" i="9"/>
  <c r="F191" i="9"/>
  <c r="F190" i="9"/>
  <c r="F189" i="9"/>
  <c r="F188" i="9"/>
  <c r="F187" i="9"/>
  <c r="F186" i="9"/>
  <c r="F185" i="9"/>
  <c r="F184" i="9"/>
  <c r="F181" i="9"/>
  <c r="F180" i="9"/>
  <c r="F179" i="9"/>
  <c r="F175" i="9"/>
  <c r="F174" i="9"/>
  <c r="E171" i="9"/>
  <c r="D171" i="9"/>
  <c r="C171" i="9"/>
  <c r="F169" i="9"/>
  <c r="F165" i="9"/>
  <c r="F163" i="9"/>
  <c r="F158" i="9"/>
  <c r="F155" i="9"/>
  <c r="E149" i="9"/>
  <c r="D149" i="9"/>
  <c r="C149" i="9"/>
  <c r="F147" i="9"/>
  <c r="E141" i="9"/>
  <c r="D141" i="9"/>
  <c r="C141" i="9"/>
  <c r="F140" i="9"/>
  <c r="F137" i="9"/>
  <c r="F136" i="9"/>
  <c r="F131" i="9"/>
  <c r="F130" i="9"/>
  <c r="D125" i="9"/>
  <c r="E123" i="9"/>
  <c r="E125" i="9" s="1"/>
  <c r="E126" i="9" s="1"/>
  <c r="C125" i="9"/>
  <c r="F122" i="9"/>
  <c r="F120" i="9"/>
  <c r="B125" i="9"/>
  <c r="B126" i="9" s="1"/>
  <c r="F115" i="9"/>
  <c r="F114" i="9"/>
  <c r="E112" i="9"/>
  <c r="D112" i="9"/>
  <c r="C112" i="9"/>
  <c r="B112" i="9"/>
  <c r="F112" i="9" s="1"/>
  <c r="E109" i="9"/>
  <c r="E110" i="9" s="1"/>
  <c r="F107" i="9"/>
  <c r="F104" i="9"/>
  <c r="F103" i="9"/>
  <c r="F100" i="9"/>
  <c r="F97" i="9"/>
  <c r="F95" i="9"/>
  <c r="F94" i="9"/>
  <c r="F93" i="9"/>
  <c r="F88" i="9"/>
  <c r="E88" i="9"/>
  <c r="D88" i="9"/>
  <c r="C88" i="9"/>
  <c r="B88" i="9"/>
  <c r="E82" i="9"/>
  <c r="F79" i="9"/>
  <c r="F78" i="9"/>
  <c r="F77" i="9"/>
  <c r="F76" i="9"/>
  <c r="F75" i="9"/>
  <c r="F73" i="9"/>
  <c r="F72" i="9"/>
  <c r="B71" i="9"/>
  <c r="F71" i="9" s="1"/>
  <c r="B70" i="9"/>
  <c r="F70" i="9" s="1"/>
  <c r="B69" i="9"/>
  <c r="F69" i="9" s="1"/>
  <c r="F67" i="9"/>
  <c r="F84" i="9" s="1"/>
  <c r="F91" i="9" s="1"/>
  <c r="F118" i="9" s="1"/>
  <c r="F134" i="9" s="1"/>
  <c r="E67" i="9"/>
  <c r="E84" i="9" s="1"/>
  <c r="E91" i="9" s="1"/>
  <c r="E118" i="9" s="1"/>
  <c r="E134" i="9" s="1"/>
  <c r="C64" i="9"/>
  <c r="C113" i="9" s="1"/>
  <c r="B64" i="9"/>
  <c r="B113" i="9" s="1"/>
  <c r="E63" i="9"/>
  <c r="B63" i="9"/>
  <c r="E61" i="9"/>
  <c r="E64" i="9" s="1"/>
  <c r="E113" i="9" s="1"/>
  <c r="D61" i="9"/>
  <c r="D64" i="9" s="1"/>
  <c r="C61" i="9"/>
  <c r="B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61" i="9" s="1"/>
  <c r="F64" i="9" s="1"/>
  <c r="F38" i="9"/>
  <c r="E38" i="9"/>
  <c r="E36" i="9"/>
  <c r="E154" i="9" s="1"/>
  <c r="E159" i="9" s="1"/>
  <c r="D36" i="9"/>
  <c r="D154" i="9" s="1"/>
  <c r="D159" i="9" s="1"/>
  <c r="C36" i="9"/>
  <c r="C128" i="9" s="1"/>
  <c r="B36" i="9"/>
  <c r="B128" i="9" s="1"/>
  <c r="F35" i="9"/>
  <c r="F34" i="9"/>
  <c r="F33" i="9"/>
  <c r="F32" i="9"/>
  <c r="F31" i="9"/>
  <c r="F30" i="9"/>
  <c r="F29" i="9"/>
  <c r="F28" i="9"/>
  <c r="F27" i="9"/>
  <c r="F26" i="9"/>
  <c r="E26" i="9"/>
  <c r="F25" i="9"/>
  <c r="F24" i="9"/>
  <c r="F23" i="9"/>
  <c r="F22" i="9"/>
  <c r="F21" i="9"/>
  <c r="C17" i="9"/>
  <c r="B17" i="9"/>
  <c r="B3" i="9"/>
  <c r="N13" i="4"/>
  <c r="AR199" i="4"/>
  <c r="AV220" i="4"/>
  <c r="AU220" i="4"/>
  <c r="AT220" i="4"/>
  <c r="AS220" i="4"/>
  <c r="AR220" i="4"/>
  <c r="AU216" i="4"/>
  <c r="AU215" i="4"/>
  <c r="AT215" i="4"/>
  <c r="AS215" i="4"/>
  <c r="AR215" i="4"/>
  <c r="AV215" i="4" s="1"/>
  <c r="AU214" i="4"/>
  <c r="AT214" i="4"/>
  <c r="AS214" i="4"/>
  <c r="AV214" i="4" s="1"/>
  <c r="AR214" i="4"/>
  <c r="AU213" i="4"/>
  <c r="AT213" i="4"/>
  <c r="AS213" i="4"/>
  <c r="AR213" i="4"/>
  <c r="AV213" i="4" s="1"/>
  <c r="AU212" i="4"/>
  <c r="AT212" i="4"/>
  <c r="AT216" i="4" s="1"/>
  <c r="AS212" i="4"/>
  <c r="AS216" i="4" s="1"/>
  <c r="AR212" i="4"/>
  <c r="AR216" i="4" s="1"/>
  <c r="AU206" i="4"/>
  <c r="AT206" i="4"/>
  <c r="AV206" i="4" s="1"/>
  <c r="AS206" i="4"/>
  <c r="AR206" i="4"/>
  <c r="AU205" i="4"/>
  <c r="AT205" i="4"/>
  <c r="AS205" i="4"/>
  <c r="AR205" i="4"/>
  <c r="AV205" i="4" s="1"/>
  <c r="AU204" i="4"/>
  <c r="AT204" i="4"/>
  <c r="AS204" i="4"/>
  <c r="AR204" i="4"/>
  <c r="AV204" i="4" s="1"/>
  <c r="AU203" i="4"/>
  <c r="AT203" i="4"/>
  <c r="AS203" i="4"/>
  <c r="AV203" i="4" s="1"/>
  <c r="AR203" i="4"/>
  <c r="AU202" i="4"/>
  <c r="AT202" i="4"/>
  <c r="AS202" i="4"/>
  <c r="AR202" i="4"/>
  <c r="AV202" i="4" s="1"/>
  <c r="AU201" i="4"/>
  <c r="AV201" i="4" s="1"/>
  <c r="AT201" i="4"/>
  <c r="AS201" i="4"/>
  <c r="AR201" i="4"/>
  <c r="AU200" i="4"/>
  <c r="AT200" i="4"/>
  <c r="AS200" i="4"/>
  <c r="AR200" i="4"/>
  <c r="AV200" i="4" s="1"/>
  <c r="AU199" i="4"/>
  <c r="AT199" i="4"/>
  <c r="AS199" i="4"/>
  <c r="AV199" i="4" s="1"/>
  <c r="AU198" i="4"/>
  <c r="AT198" i="4"/>
  <c r="AS198" i="4"/>
  <c r="AR198" i="4"/>
  <c r="AV198" i="4" s="1"/>
  <c r="AU197" i="4"/>
  <c r="AU207" i="4" s="1"/>
  <c r="AT197" i="4"/>
  <c r="AT207" i="4" s="1"/>
  <c r="AS197" i="4"/>
  <c r="AS207" i="4" s="1"/>
  <c r="AR197" i="4"/>
  <c r="AV197" i="4" s="1"/>
  <c r="AU193" i="4"/>
  <c r="AT193" i="4"/>
  <c r="AS193" i="4"/>
  <c r="AV192" i="4"/>
  <c r="AU192" i="4"/>
  <c r="AT192" i="4"/>
  <c r="AS192" i="4"/>
  <c r="AR192" i="4"/>
  <c r="AU191" i="4"/>
  <c r="AT191" i="4"/>
  <c r="AS191" i="4"/>
  <c r="AR191" i="4"/>
  <c r="AV191" i="4" s="1"/>
  <c r="AU190" i="4"/>
  <c r="AT190" i="4"/>
  <c r="AV190" i="4" s="1"/>
  <c r="AS190" i="4"/>
  <c r="AR190" i="4"/>
  <c r="AU189" i="4"/>
  <c r="AT189" i="4"/>
  <c r="AS189" i="4"/>
  <c r="AR189" i="4"/>
  <c r="AV189" i="4" s="1"/>
  <c r="AU188" i="4"/>
  <c r="AT188" i="4"/>
  <c r="AS188" i="4"/>
  <c r="AR188" i="4"/>
  <c r="AV188" i="4" s="1"/>
  <c r="AU187" i="4"/>
  <c r="AT187" i="4"/>
  <c r="AS187" i="4"/>
  <c r="AV187" i="4" s="1"/>
  <c r="AR187" i="4"/>
  <c r="AU186" i="4"/>
  <c r="AT186" i="4"/>
  <c r="AS186" i="4"/>
  <c r="AR186" i="4"/>
  <c r="AV186" i="4" s="1"/>
  <c r="AU185" i="4"/>
  <c r="AV185" i="4" s="1"/>
  <c r="AT185" i="4"/>
  <c r="AS185" i="4"/>
  <c r="AR185" i="4"/>
  <c r="AU184" i="4"/>
  <c r="AT184" i="4"/>
  <c r="AS184" i="4"/>
  <c r="AR184" i="4"/>
  <c r="AV184" i="4" s="1"/>
  <c r="AU183" i="4"/>
  <c r="AT183" i="4"/>
  <c r="AS183" i="4"/>
  <c r="AV183" i="4" s="1"/>
  <c r="AR183" i="4"/>
  <c r="AU182" i="4"/>
  <c r="AT182" i="4"/>
  <c r="AS182" i="4"/>
  <c r="AR182" i="4"/>
  <c r="AV182" i="4" s="1"/>
  <c r="AU181" i="4"/>
  <c r="AT181" i="4"/>
  <c r="AS181" i="4"/>
  <c r="AR181" i="4"/>
  <c r="AV181" i="4" s="1"/>
  <c r="AV180" i="4"/>
  <c r="AU180" i="4"/>
  <c r="AT180" i="4"/>
  <c r="AS180" i="4"/>
  <c r="AR180" i="4"/>
  <c r="AU179" i="4"/>
  <c r="AT179" i="4"/>
  <c r="AS179" i="4"/>
  <c r="AR179" i="4"/>
  <c r="AV179" i="4" s="1"/>
  <c r="AU178" i="4"/>
  <c r="AT178" i="4"/>
  <c r="AS178" i="4"/>
  <c r="AU177" i="4"/>
  <c r="AT177" i="4"/>
  <c r="AS177" i="4"/>
  <c r="AR177" i="4"/>
  <c r="AV177" i="4" s="1"/>
  <c r="AU176" i="4"/>
  <c r="AT176" i="4"/>
  <c r="AS176" i="4"/>
  <c r="AR176" i="4"/>
  <c r="AV176" i="4" s="1"/>
  <c r="AU175" i="4"/>
  <c r="AT175" i="4"/>
  <c r="AS175" i="4"/>
  <c r="AV175" i="4" s="1"/>
  <c r="AR175" i="4"/>
  <c r="AU174" i="4"/>
  <c r="AU194" i="4" s="1"/>
  <c r="AT174" i="4"/>
  <c r="AT194" i="4" s="1"/>
  <c r="AS174" i="4"/>
  <c r="AS194" i="4" s="1"/>
  <c r="AR174" i="4"/>
  <c r="AU170" i="4"/>
  <c r="AT170" i="4"/>
  <c r="AS170" i="4"/>
  <c r="AU169" i="4"/>
  <c r="AV169" i="4" s="1"/>
  <c r="AT169" i="4"/>
  <c r="AS169" i="4"/>
  <c r="AR169" i="4"/>
  <c r="AU168" i="4"/>
  <c r="AT168" i="4"/>
  <c r="AS168" i="4"/>
  <c r="AU167" i="4"/>
  <c r="AT167" i="4"/>
  <c r="AS167" i="4"/>
  <c r="AV167" i="4" s="1"/>
  <c r="AR167" i="4"/>
  <c r="AU166" i="4"/>
  <c r="AT166" i="4"/>
  <c r="AS166" i="4"/>
  <c r="AU165" i="4"/>
  <c r="AT165" i="4"/>
  <c r="AS165" i="4"/>
  <c r="AR165" i="4"/>
  <c r="AV165" i="4" s="1"/>
  <c r="AU164" i="4"/>
  <c r="AT164" i="4"/>
  <c r="AS164" i="4"/>
  <c r="AU163" i="4"/>
  <c r="AT163" i="4"/>
  <c r="AS163" i="4"/>
  <c r="AS171" i="4" s="1"/>
  <c r="AR163" i="4"/>
  <c r="AV163" i="4" s="1"/>
  <c r="AU162" i="4"/>
  <c r="AU171" i="4" s="1"/>
  <c r="AT162" i="4"/>
  <c r="AT171" i="4" s="1"/>
  <c r="AS162" i="4"/>
  <c r="AR162" i="4"/>
  <c r="AU158" i="4"/>
  <c r="AT158" i="4"/>
  <c r="AV158" i="4" s="1"/>
  <c r="AS158" i="4"/>
  <c r="AR158" i="4"/>
  <c r="AU157" i="4"/>
  <c r="AT157" i="4"/>
  <c r="AS157" i="4"/>
  <c r="AU156" i="4"/>
  <c r="AT156" i="4"/>
  <c r="AS156" i="4"/>
  <c r="AU155" i="4"/>
  <c r="AT155" i="4"/>
  <c r="AS155" i="4"/>
  <c r="AV155" i="4" s="1"/>
  <c r="AR155" i="4"/>
  <c r="AU154" i="4"/>
  <c r="AT154" i="4"/>
  <c r="AT159" i="4" s="1"/>
  <c r="AS154" i="4"/>
  <c r="AR154" i="4"/>
  <c r="AU153" i="4"/>
  <c r="AT153" i="4"/>
  <c r="AR153" i="4"/>
  <c r="AU152" i="4"/>
  <c r="AT152" i="4"/>
  <c r="AS152" i="4"/>
  <c r="AR152" i="4"/>
  <c r="AV152" i="4" s="1"/>
  <c r="AU149" i="4"/>
  <c r="AU148" i="4"/>
  <c r="AT148" i="4"/>
  <c r="AS148" i="4"/>
  <c r="AU147" i="4"/>
  <c r="AT147" i="4"/>
  <c r="AS147" i="4"/>
  <c r="AV147" i="4" s="1"/>
  <c r="AR147" i="4"/>
  <c r="AU146" i="4"/>
  <c r="AT146" i="4"/>
  <c r="AS146" i="4"/>
  <c r="AU145" i="4"/>
  <c r="AT145" i="4"/>
  <c r="AT149" i="4" s="1"/>
  <c r="AS145" i="4"/>
  <c r="AU144" i="4"/>
  <c r="AT144" i="4"/>
  <c r="AS144" i="4"/>
  <c r="AS149" i="4" s="1"/>
  <c r="AV140" i="4"/>
  <c r="AU140" i="4"/>
  <c r="AT140" i="4"/>
  <c r="AS140" i="4"/>
  <c r="AR140" i="4"/>
  <c r="AU139" i="4"/>
  <c r="AT139" i="4"/>
  <c r="AS139" i="4"/>
  <c r="AU138" i="4"/>
  <c r="AT138" i="4"/>
  <c r="AS138" i="4"/>
  <c r="AU137" i="4"/>
  <c r="AT137" i="4"/>
  <c r="AS137" i="4"/>
  <c r="AR137" i="4"/>
  <c r="AV137" i="4" s="1"/>
  <c r="AU136" i="4"/>
  <c r="AU141" i="4" s="1"/>
  <c r="AT136" i="4"/>
  <c r="AT141" i="4" s="1"/>
  <c r="AS136" i="4"/>
  <c r="AS141" i="4" s="1"/>
  <c r="AR136" i="4"/>
  <c r="AV136" i="4" s="1"/>
  <c r="AU135" i="4"/>
  <c r="AT135" i="4"/>
  <c r="AS135" i="4"/>
  <c r="AU131" i="4"/>
  <c r="AT131" i="4"/>
  <c r="AS131" i="4"/>
  <c r="AV131" i="4" s="1"/>
  <c r="AR131" i="4"/>
  <c r="AU130" i="4"/>
  <c r="AT130" i="4"/>
  <c r="AS130" i="4"/>
  <c r="AR130" i="4"/>
  <c r="AV130" i="4" s="1"/>
  <c r="AU129" i="4"/>
  <c r="AT129" i="4"/>
  <c r="AS129" i="4"/>
  <c r="AU128" i="4"/>
  <c r="AT128" i="4"/>
  <c r="AS128" i="4"/>
  <c r="AU127" i="4"/>
  <c r="AU132" i="4" s="1"/>
  <c r="AT127" i="4"/>
  <c r="AT132" i="4" s="1"/>
  <c r="AS127" i="4"/>
  <c r="AS132" i="4" s="1"/>
  <c r="AU126" i="4"/>
  <c r="AT126" i="4"/>
  <c r="AS126" i="4"/>
  <c r="AV124" i="4"/>
  <c r="AU124" i="4"/>
  <c r="AT124" i="4"/>
  <c r="AS124" i="4"/>
  <c r="AR124" i="4"/>
  <c r="AU123" i="4"/>
  <c r="AT123" i="4"/>
  <c r="AS123" i="4"/>
  <c r="AU122" i="4"/>
  <c r="AT122" i="4"/>
  <c r="AV122" i="4" s="1"/>
  <c r="AS122" i="4"/>
  <c r="AR122" i="4"/>
  <c r="AU121" i="4"/>
  <c r="AT121" i="4"/>
  <c r="AS121" i="4"/>
  <c r="AR121" i="4"/>
  <c r="AV121" i="4" s="1"/>
  <c r="AU120" i="4"/>
  <c r="AU125" i="4" s="1"/>
  <c r="AT120" i="4"/>
  <c r="AT125" i="4" s="1"/>
  <c r="AS120" i="4"/>
  <c r="AS125" i="4" s="1"/>
  <c r="AR120" i="4"/>
  <c r="AU119" i="4"/>
  <c r="AT119" i="4"/>
  <c r="AS119" i="4"/>
  <c r="AV119" i="4" s="1"/>
  <c r="AR119" i="4"/>
  <c r="AU115" i="4"/>
  <c r="AT115" i="4"/>
  <c r="AS115" i="4"/>
  <c r="AV115" i="4" s="1"/>
  <c r="AR115" i="4"/>
  <c r="AU114" i="4"/>
  <c r="AT114" i="4"/>
  <c r="AS114" i="4"/>
  <c r="AR114" i="4"/>
  <c r="AV114" i="4" s="1"/>
  <c r="AU113" i="4"/>
  <c r="AT113" i="4"/>
  <c r="AS113" i="4"/>
  <c r="AU112" i="4"/>
  <c r="AT112" i="4"/>
  <c r="AS112" i="4"/>
  <c r="AU111" i="4"/>
  <c r="AU116" i="4" s="1"/>
  <c r="AT111" i="4"/>
  <c r="AT116" i="4" s="1"/>
  <c r="AS111" i="4"/>
  <c r="AS116" i="4" s="1"/>
  <c r="AU110" i="4"/>
  <c r="AT110" i="4"/>
  <c r="AS110" i="4"/>
  <c r="AV108" i="4"/>
  <c r="AU108" i="4"/>
  <c r="AT108" i="4"/>
  <c r="AS108" i="4"/>
  <c r="AR108" i="4"/>
  <c r="AU107" i="4"/>
  <c r="AT107" i="4"/>
  <c r="AS107" i="4"/>
  <c r="AR107" i="4"/>
  <c r="AV107" i="4" s="1"/>
  <c r="AU106" i="4"/>
  <c r="AT106" i="4"/>
  <c r="AV106" i="4" s="1"/>
  <c r="AS106" i="4"/>
  <c r="AR106" i="4"/>
  <c r="AU105" i="4"/>
  <c r="AT105" i="4"/>
  <c r="AS105" i="4"/>
  <c r="AR105" i="4"/>
  <c r="AV105" i="4" s="1"/>
  <c r="AU104" i="4"/>
  <c r="AT104" i="4"/>
  <c r="AS104" i="4"/>
  <c r="AR104" i="4"/>
  <c r="AV104" i="4" s="1"/>
  <c r="AU103" i="4"/>
  <c r="AT103" i="4"/>
  <c r="AS103" i="4"/>
  <c r="AV103" i="4" s="1"/>
  <c r="AR103" i="4"/>
  <c r="AU102" i="4"/>
  <c r="AT102" i="4"/>
  <c r="AS102" i="4"/>
  <c r="AR102" i="4"/>
  <c r="AV102" i="4" s="1"/>
  <c r="AU101" i="4"/>
  <c r="AT101" i="4"/>
  <c r="AS101" i="4"/>
  <c r="AU100" i="4"/>
  <c r="AT100" i="4"/>
  <c r="AS100" i="4"/>
  <c r="AR100" i="4"/>
  <c r="AV100" i="4" s="1"/>
  <c r="AU99" i="4"/>
  <c r="AT99" i="4"/>
  <c r="AS99" i="4"/>
  <c r="AV99" i="4" s="1"/>
  <c r="AR99" i="4"/>
  <c r="AU98" i="4"/>
  <c r="AT98" i="4"/>
  <c r="AS98" i="4"/>
  <c r="AR98" i="4"/>
  <c r="AV98" i="4" s="1"/>
  <c r="AU97" i="4"/>
  <c r="AT97" i="4"/>
  <c r="AS97" i="4"/>
  <c r="AS109" i="4" s="1"/>
  <c r="AR97" i="4"/>
  <c r="AV96" i="4"/>
  <c r="AU96" i="4"/>
  <c r="AT96" i="4"/>
  <c r="AS96" i="4"/>
  <c r="AR96" i="4"/>
  <c r="AU95" i="4"/>
  <c r="AT95" i="4"/>
  <c r="AS95" i="4"/>
  <c r="AR95" i="4"/>
  <c r="AV95" i="4" s="1"/>
  <c r="AU94" i="4"/>
  <c r="AU109" i="4" s="1"/>
  <c r="AT94" i="4"/>
  <c r="AT109" i="4" s="1"/>
  <c r="AS94" i="4"/>
  <c r="AR94" i="4"/>
  <c r="AU93" i="4"/>
  <c r="AT93" i="4"/>
  <c r="AS93" i="4"/>
  <c r="AR93" i="4"/>
  <c r="AV93" i="4" s="1"/>
  <c r="AU88" i="4"/>
  <c r="AT88" i="4"/>
  <c r="AU87" i="4"/>
  <c r="AT87" i="4"/>
  <c r="AS87" i="4"/>
  <c r="AR87" i="4"/>
  <c r="AV87" i="4" s="1"/>
  <c r="AU86" i="4"/>
  <c r="AT86" i="4"/>
  <c r="AS86" i="4"/>
  <c r="AR86" i="4"/>
  <c r="AV86" i="4" s="1"/>
  <c r="AU85" i="4"/>
  <c r="AT85" i="4"/>
  <c r="AS85" i="4"/>
  <c r="AS88" i="4" s="1"/>
  <c r="AR85" i="4"/>
  <c r="AU81" i="4"/>
  <c r="AT81" i="4"/>
  <c r="AS81" i="4"/>
  <c r="AV81" i="4" s="1"/>
  <c r="AR81" i="4"/>
  <c r="AU80" i="4"/>
  <c r="AT80" i="4"/>
  <c r="AS80" i="4"/>
  <c r="AR80" i="4"/>
  <c r="AV80" i="4" s="1"/>
  <c r="AU79" i="4"/>
  <c r="AV79" i="4" s="1"/>
  <c r="AT79" i="4"/>
  <c r="AS79" i="4"/>
  <c r="AR79" i="4"/>
  <c r="AU78" i="4"/>
  <c r="AT78" i="4"/>
  <c r="AS78" i="4"/>
  <c r="AR78" i="4"/>
  <c r="AV78" i="4" s="1"/>
  <c r="AU77" i="4"/>
  <c r="AT77" i="4"/>
  <c r="AS77" i="4"/>
  <c r="AV77" i="4" s="1"/>
  <c r="AR77" i="4"/>
  <c r="AU76" i="4"/>
  <c r="AT76" i="4"/>
  <c r="AS76" i="4"/>
  <c r="AR76" i="4"/>
  <c r="AV76" i="4" s="1"/>
  <c r="AU75" i="4"/>
  <c r="AT75" i="4"/>
  <c r="AS75" i="4"/>
  <c r="AR75" i="4"/>
  <c r="AV75" i="4" s="1"/>
  <c r="AV74" i="4"/>
  <c r="AU74" i="4"/>
  <c r="AT74" i="4"/>
  <c r="AS74" i="4"/>
  <c r="AR74" i="4"/>
  <c r="AU73" i="4"/>
  <c r="AT73" i="4"/>
  <c r="AS73" i="4"/>
  <c r="AR73" i="4"/>
  <c r="AV73" i="4" s="1"/>
  <c r="AU72" i="4"/>
  <c r="AT72" i="4"/>
  <c r="AV72" i="4" s="1"/>
  <c r="AS72" i="4"/>
  <c r="AR72" i="4"/>
  <c r="AU71" i="4"/>
  <c r="AT71" i="4"/>
  <c r="AS71" i="4"/>
  <c r="AR71" i="4"/>
  <c r="AV71" i="4" s="1"/>
  <c r="AU70" i="4"/>
  <c r="AU82" i="4" s="1"/>
  <c r="AT70" i="4"/>
  <c r="AT82" i="4" s="1"/>
  <c r="AS70" i="4"/>
  <c r="AS82" i="4" s="1"/>
  <c r="AR70" i="4"/>
  <c r="AU69" i="4"/>
  <c r="AT69" i="4"/>
  <c r="AS69" i="4"/>
  <c r="AV69" i="4" s="1"/>
  <c r="AR69" i="4"/>
  <c r="AU68" i="4"/>
  <c r="AT68" i="4"/>
  <c r="AS68" i="4"/>
  <c r="AV67" i="4"/>
  <c r="AV84" i="4" s="1"/>
  <c r="AV91" i="4" s="1"/>
  <c r="AV118" i="4" s="1"/>
  <c r="AV134" i="4" s="1"/>
  <c r="AU67" i="4"/>
  <c r="AU84" i="4" s="1"/>
  <c r="AU91" i="4" s="1"/>
  <c r="AU118" i="4" s="1"/>
  <c r="AU134" i="4" s="1"/>
  <c r="AU60" i="4"/>
  <c r="AT60" i="4"/>
  <c r="AS60" i="4"/>
  <c r="AV60" i="4" s="1"/>
  <c r="AR60" i="4"/>
  <c r="AU59" i="4"/>
  <c r="AT59" i="4"/>
  <c r="AS59" i="4"/>
  <c r="AR59" i="4"/>
  <c r="AV59" i="4" s="1"/>
  <c r="AU58" i="4"/>
  <c r="AT58" i="4"/>
  <c r="AS58" i="4"/>
  <c r="AR58" i="4"/>
  <c r="AV58" i="4" s="1"/>
  <c r="AV57" i="4"/>
  <c r="AU57" i="4"/>
  <c r="AT57" i="4"/>
  <c r="AS57" i="4"/>
  <c r="AR57" i="4"/>
  <c r="AU56" i="4"/>
  <c r="AT56" i="4"/>
  <c r="AS56" i="4"/>
  <c r="AR56" i="4"/>
  <c r="AV56" i="4" s="1"/>
  <c r="AU55" i="4"/>
  <c r="AT55" i="4"/>
  <c r="AV55" i="4" s="1"/>
  <c r="AS55" i="4"/>
  <c r="AR55" i="4"/>
  <c r="AU54" i="4"/>
  <c r="AT54" i="4"/>
  <c r="AS54" i="4"/>
  <c r="AR54" i="4"/>
  <c r="AV54" i="4" s="1"/>
  <c r="AU53" i="4"/>
  <c r="AT53" i="4"/>
  <c r="AS53" i="4"/>
  <c r="AR53" i="4"/>
  <c r="AV53" i="4" s="1"/>
  <c r="AU52" i="4"/>
  <c r="AT52" i="4"/>
  <c r="AS52" i="4"/>
  <c r="AV52" i="4" s="1"/>
  <c r="AR52" i="4"/>
  <c r="AU51" i="4"/>
  <c r="AT51" i="4"/>
  <c r="AS51" i="4"/>
  <c r="AR51" i="4"/>
  <c r="AV51" i="4" s="1"/>
  <c r="AU50" i="4"/>
  <c r="AT50" i="4"/>
  <c r="AS50" i="4"/>
  <c r="AR50" i="4"/>
  <c r="AU49" i="4"/>
  <c r="AT49" i="4"/>
  <c r="AS49" i="4"/>
  <c r="AR49" i="4"/>
  <c r="AV49" i="4" s="1"/>
  <c r="AU48" i="4"/>
  <c r="AT48" i="4"/>
  <c r="AS48" i="4"/>
  <c r="AV48" i="4" s="1"/>
  <c r="AR48" i="4"/>
  <c r="AU47" i="4"/>
  <c r="AT47" i="4"/>
  <c r="AS47" i="4"/>
  <c r="AR47" i="4"/>
  <c r="AV47" i="4" s="1"/>
  <c r="AU46" i="4"/>
  <c r="AT46" i="4"/>
  <c r="AS46" i="4"/>
  <c r="AR46" i="4"/>
  <c r="AV46" i="4" s="1"/>
  <c r="AV45" i="4"/>
  <c r="AU45" i="4"/>
  <c r="AT45" i="4"/>
  <c r="AS45" i="4"/>
  <c r="AR45" i="4"/>
  <c r="AU44" i="4"/>
  <c r="AT44" i="4"/>
  <c r="AS44" i="4"/>
  <c r="AR44" i="4"/>
  <c r="AV44" i="4" s="1"/>
  <c r="AU43" i="4"/>
  <c r="AT43" i="4"/>
  <c r="AV43" i="4" s="1"/>
  <c r="AS43" i="4"/>
  <c r="AR43" i="4"/>
  <c r="AU42" i="4"/>
  <c r="AT42" i="4"/>
  <c r="AS42" i="4"/>
  <c r="AR42" i="4"/>
  <c r="AV42" i="4" s="1"/>
  <c r="AU41" i="4"/>
  <c r="AT41" i="4"/>
  <c r="AS41" i="4"/>
  <c r="AR41" i="4"/>
  <c r="AV41" i="4" s="1"/>
  <c r="AU40" i="4"/>
  <c r="AT40" i="4"/>
  <c r="AS40" i="4"/>
  <c r="AV40" i="4" s="1"/>
  <c r="AR40" i="4"/>
  <c r="AU39" i="4"/>
  <c r="AU61" i="4" s="1"/>
  <c r="AU64" i="4" s="1"/>
  <c r="AT39" i="4"/>
  <c r="AT61" i="4" s="1"/>
  <c r="AT64" i="4" s="1"/>
  <c r="AS39" i="4"/>
  <c r="AS61" i="4" s="1"/>
  <c r="AS64" i="4" s="1"/>
  <c r="AR39" i="4"/>
  <c r="AV39" i="4" s="1"/>
  <c r="AV38" i="4"/>
  <c r="AU38" i="4"/>
  <c r="AU35" i="4"/>
  <c r="AT35" i="4"/>
  <c r="AS35" i="4"/>
  <c r="AR35" i="4"/>
  <c r="AV35" i="4" s="1"/>
  <c r="AU34" i="4"/>
  <c r="AV34" i="4" s="1"/>
  <c r="AT34" i="4"/>
  <c r="AS34" i="4"/>
  <c r="AR34" i="4"/>
  <c r="AU33" i="4"/>
  <c r="AT33" i="4"/>
  <c r="AS33" i="4"/>
  <c r="AR33" i="4"/>
  <c r="AV33" i="4" s="1"/>
  <c r="AU32" i="4"/>
  <c r="AT32" i="4"/>
  <c r="AS32" i="4"/>
  <c r="AV32" i="4" s="1"/>
  <c r="AR32" i="4"/>
  <c r="AU31" i="4"/>
  <c r="AT31" i="4"/>
  <c r="AS31" i="4"/>
  <c r="AR31" i="4"/>
  <c r="AV31" i="4" s="1"/>
  <c r="AU30" i="4"/>
  <c r="AT30" i="4"/>
  <c r="AS30" i="4"/>
  <c r="AR30" i="4"/>
  <c r="AV30" i="4" s="1"/>
  <c r="AV29" i="4"/>
  <c r="AU29" i="4"/>
  <c r="AT29" i="4"/>
  <c r="AS29" i="4"/>
  <c r="AR29" i="4"/>
  <c r="AU28" i="4"/>
  <c r="AT28" i="4"/>
  <c r="AS28" i="4"/>
  <c r="AS36" i="4" s="1"/>
  <c r="AS63" i="4" s="1"/>
  <c r="AR28" i="4"/>
  <c r="AV28" i="4" s="1"/>
  <c r="AU27" i="4"/>
  <c r="AU36" i="4" s="1"/>
  <c r="AU63" i="4" s="1"/>
  <c r="AU65" i="4" s="1"/>
  <c r="AT27" i="4"/>
  <c r="AT36" i="4" s="1"/>
  <c r="AT63" i="4" s="1"/>
  <c r="AT65" i="4" s="1"/>
  <c r="AS27" i="4"/>
  <c r="AR27" i="4"/>
  <c r="AR36" i="4" s="1"/>
  <c r="AV26" i="4"/>
  <c r="AU26" i="4"/>
  <c r="AU25" i="4"/>
  <c r="AS25" i="4"/>
  <c r="AR25" i="4"/>
  <c r="AV25" i="4" s="1"/>
  <c r="AU24" i="4"/>
  <c r="AT24" i="4"/>
  <c r="AS24" i="4"/>
  <c r="AV24" i="4" s="1"/>
  <c r="AR24" i="4"/>
  <c r="AU23" i="4"/>
  <c r="AT23" i="4"/>
  <c r="AS23" i="4"/>
  <c r="AR23" i="4"/>
  <c r="AV23" i="4" s="1"/>
  <c r="AU22" i="4"/>
  <c r="AT22" i="4"/>
  <c r="AS22" i="4"/>
  <c r="AR22" i="4"/>
  <c r="AV22" i="4" s="1"/>
  <c r="AV21" i="4"/>
  <c r="AU21" i="4"/>
  <c r="AT21" i="4"/>
  <c r="AS21" i="4"/>
  <c r="AR21" i="4"/>
  <c r="AR2" i="4"/>
  <c r="AR113" i="15" l="1"/>
  <c r="C113" i="15"/>
  <c r="O125" i="15"/>
  <c r="O126" i="15" s="1"/>
  <c r="R122" i="15"/>
  <c r="B82" i="15"/>
  <c r="B193" i="15"/>
  <c r="H171" i="15"/>
  <c r="R61" i="15"/>
  <c r="R64" i="15" s="1"/>
  <c r="Q111" i="15"/>
  <c r="Q113" i="15"/>
  <c r="P132" i="15"/>
  <c r="P126" i="15"/>
  <c r="E128" i="15"/>
  <c r="E63" i="15"/>
  <c r="L98" i="15"/>
  <c r="H109" i="15"/>
  <c r="H110" i="15" s="1"/>
  <c r="P127" i="15"/>
  <c r="D82" i="15"/>
  <c r="F80" i="15"/>
  <c r="R88" i="15"/>
  <c r="H157" i="15"/>
  <c r="L157" i="15" s="1"/>
  <c r="F145" i="15"/>
  <c r="L36" i="15"/>
  <c r="L63" i="15" s="1"/>
  <c r="L65" i="15" s="1"/>
  <c r="L80" i="15"/>
  <c r="J109" i="15"/>
  <c r="J110" i="15" s="1"/>
  <c r="J116" i="15" s="1"/>
  <c r="B168" i="15"/>
  <c r="B145" i="15"/>
  <c r="L162" i="15"/>
  <c r="F74" i="15"/>
  <c r="P65" i="15"/>
  <c r="P111" i="15" s="1"/>
  <c r="P116" i="15" s="1"/>
  <c r="P209" i="15" s="1"/>
  <c r="P218" i="15" s="1"/>
  <c r="O154" i="15"/>
  <c r="B148" i="15"/>
  <c r="F148" i="15" s="1"/>
  <c r="L61" i="15"/>
  <c r="L64" i="15" s="1"/>
  <c r="H146" i="15"/>
  <c r="L146" i="15" s="1"/>
  <c r="H168" i="15"/>
  <c r="L168" i="15" s="1"/>
  <c r="N154" i="15"/>
  <c r="H63" i="15"/>
  <c r="H148" i="15"/>
  <c r="L148" i="15" s="1"/>
  <c r="H170" i="15"/>
  <c r="L170" i="15" s="1"/>
  <c r="R36" i="15"/>
  <c r="R63" i="15" s="1"/>
  <c r="B144" i="15"/>
  <c r="H121" i="15"/>
  <c r="L121" i="15" s="1"/>
  <c r="N17" i="15"/>
  <c r="O65" i="15"/>
  <c r="O127" i="15" s="1"/>
  <c r="O132" i="15" s="1"/>
  <c r="B146" i="15"/>
  <c r="F146" i="15" s="1"/>
  <c r="H145" i="15"/>
  <c r="L145" i="15" s="1"/>
  <c r="F121" i="15"/>
  <c r="C153" i="15"/>
  <c r="C159" i="15" s="1"/>
  <c r="B178" i="15"/>
  <c r="K63" i="15"/>
  <c r="K65" i="15" s="1"/>
  <c r="K111" i="15" s="1"/>
  <c r="N121" i="15"/>
  <c r="R121" i="15" s="1"/>
  <c r="O109" i="15"/>
  <c r="O110" i="15" s="1"/>
  <c r="R207" i="15"/>
  <c r="N109" i="15"/>
  <c r="N110" i="15" s="1"/>
  <c r="R102" i="15"/>
  <c r="Q143" i="15"/>
  <c r="Q151" i="15"/>
  <c r="Q161" i="15" s="1"/>
  <c r="Q173" i="15" s="1"/>
  <c r="Q196" i="15" s="1"/>
  <c r="R143" i="15"/>
  <c r="R151" i="15"/>
  <c r="R161" i="15" s="1"/>
  <c r="R173" i="15" s="1"/>
  <c r="R196" i="15" s="1"/>
  <c r="Q65" i="15"/>
  <c r="Q127" i="15" s="1"/>
  <c r="Q132" i="15" s="1"/>
  <c r="R119" i="15"/>
  <c r="R80" i="15"/>
  <c r="R95" i="15"/>
  <c r="R109" i="15" s="1"/>
  <c r="R177" i="15"/>
  <c r="R128" i="15"/>
  <c r="N207" i="15"/>
  <c r="N65" i="15"/>
  <c r="N111" i="15" s="1"/>
  <c r="P113" i="15"/>
  <c r="R113" i="15" s="1"/>
  <c r="R140" i="15"/>
  <c r="O82" i="15"/>
  <c r="K151" i="15"/>
  <c r="K161" i="15" s="1"/>
  <c r="K173" i="15" s="1"/>
  <c r="K196" i="15" s="1"/>
  <c r="K143" i="15"/>
  <c r="I65" i="15"/>
  <c r="I129" i="15"/>
  <c r="L151" i="15"/>
  <c r="L161" i="15" s="1"/>
  <c r="L173" i="15" s="1"/>
  <c r="L196" i="15" s="1"/>
  <c r="L143" i="15"/>
  <c r="J65" i="15"/>
  <c r="J111" i="15" s="1"/>
  <c r="J127" i="15"/>
  <c r="J129" i="15"/>
  <c r="L207" i="15"/>
  <c r="J113" i="15"/>
  <c r="K113" i="15"/>
  <c r="L113" i="15" s="1"/>
  <c r="H125" i="15"/>
  <c r="H126" i="15" s="1"/>
  <c r="L141" i="15"/>
  <c r="K116" i="15"/>
  <c r="I82" i="15"/>
  <c r="L152" i="15"/>
  <c r="L93" i="15"/>
  <c r="L109" i="15" s="1"/>
  <c r="L164" i="15"/>
  <c r="L171" i="15" s="1"/>
  <c r="L68" i="15"/>
  <c r="L153" i="15"/>
  <c r="L119" i="15"/>
  <c r="H193" i="15"/>
  <c r="L193" i="15" s="1"/>
  <c r="I159" i="15"/>
  <c r="L178" i="15"/>
  <c r="I125" i="15"/>
  <c r="I126" i="15" s="1"/>
  <c r="K127" i="15"/>
  <c r="J154" i="15"/>
  <c r="J159" i="15" s="1"/>
  <c r="K154" i="15"/>
  <c r="K159" i="15" s="1"/>
  <c r="H207" i="15"/>
  <c r="J194" i="15"/>
  <c r="I128" i="15"/>
  <c r="J128" i="15"/>
  <c r="L156" i="15"/>
  <c r="B113" i="15"/>
  <c r="F113" i="15" s="1"/>
  <c r="B65" i="15"/>
  <c r="B127" i="15" s="1"/>
  <c r="B129" i="15"/>
  <c r="B170" i="15"/>
  <c r="F170" i="15" s="1"/>
  <c r="B157" i="15"/>
  <c r="F157" i="15" s="1"/>
  <c r="F151" i="15"/>
  <c r="F161" i="15" s="1"/>
  <c r="F173" i="15" s="1"/>
  <c r="F196" i="15" s="1"/>
  <c r="F143" i="15"/>
  <c r="E151" i="15"/>
  <c r="E161" i="15" s="1"/>
  <c r="E173" i="15" s="1"/>
  <c r="E196" i="15" s="1"/>
  <c r="E143" i="15"/>
  <c r="F61" i="15"/>
  <c r="F64" i="15" s="1"/>
  <c r="F65" i="15" s="1"/>
  <c r="E65" i="15"/>
  <c r="E129" i="15"/>
  <c r="F93" i="15"/>
  <c r="B109" i="15"/>
  <c r="B110" i="15" s="1"/>
  <c r="F154" i="15"/>
  <c r="F164" i="15"/>
  <c r="B207" i="15"/>
  <c r="F197" i="15"/>
  <c r="F207" i="15" s="1"/>
  <c r="C63" i="15"/>
  <c r="C128" i="15"/>
  <c r="D63" i="15"/>
  <c r="D128" i="15"/>
  <c r="D154" i="15"/>
  <c r="D159" i="15" s="1"/>
  <c r="F68" i="15"/>
  <c r="F82" i="15" s="1"/>
  <c r="F153" i="15"/>
  <c r="F119" i="15"/>
  <c r="F124" i="15"/>
  <c r="F178" i="15"/>
  <c r="F102" i="15"/>
  <c r="C109" i="15"/>
  <c r="C110" i="15" s="1"/>
  <c r="C125" i="15"/>
  <c r="E154" i="15"/>
  <c r="E159" i="15" s="1"/>
  <c r="D194" i="15"/>
  <c r="F193" i="15"/>
  <c r="F139" i="15"/>
  <c r="F168" i="15"/>
  <c r="B156" i="15"/>
  <c r="F156" i="15" s="1"/>
  <c r="AS132" i="9"/>
  <c r="AV149" i="10"/>
  <c r="AR159" i="10"/>
  <c r="AV154" i="10"/>
  <c r="AV159" i="10" s="1"/>
  <c r="AR194" i="10"/>
  <c r="AR17" i="10"/>
  <c r="AV41" i="10"/>
  <c r="AV75" i="10"/>
  <c r="AV86" i="10"/>
  <c r="AR88" i="10"/>
  <c r="AR141" i="10"/>
  <c r="AS159" i="10"/>
  <c r="AS171" i="10"/>
  <c r="AS194" i="10"/>
  <c r="AT36" i="10"/>
  <c r="AT63" i="10" s="1"/>
  <c r="AT65" i="10" s="1"/>
  <c r="AV30" i="10"/>
  <c r="AV58" i="10"/>
  <c r="AU132" i="10"/>
  <c r="AU151" i="10"/>
  <c r="AU161" i="10" s="1"/>
  <c r="AU173" i="10" s="1"/>
  <c r="AU196" i="10" s="1"/>
  <c r="AT159" i="10"/>
  <c r="AT194" i="10"/>
  <c r="AR207" i="10"/>
  <c r="AV197" i="10"/>
  <c r="AV207" i="10" s="1"/>
  <c r="AV82" i="10"/>
  <c r="AV94" i="10"/>
  <c r="AR216" i="10"/>
  <c r="AV212" i="10"/>
  <c r="AV216" i="10" s="1"/>
  <c r="AV132" i="10"/>
  <c r="AV162" i="10"/>
  <c r="AV171" i="10" s="1"/>
  <c r="AT171" i="10"/>
  <c r="AR36" i="10"/>
  <c r="AR63" i="10" s="1"/>
  <c r="AR65" i="10" s="1"/>
  <c r="AV109" i="10"/>
  <c r="AV141" i="10"/>
  <c r="AU36" i="10"/>
  <c r="AU63" i="10" s="1"/>
  <c r="AU65" i="10" s="1"/>
  <c r="AV70" i="10"/>
  <c r="AV99" i="10"/>
  <c r="AR149" i="10"/>
  <c r="AU194" i="10"/>
  <c r="AS207" i="10"/>
  <c r="AV24" i="10"/>
  <c r="AV27" i="10"/>
  <c r="AV36" i="10" s="1"/>
  <c r="AV63" i="10" s="1"/>
  <c r="AV53" i="10"/>
  <c r="AV111" i="10"/>
  <c r="AV116" i="10" s="1"/>
  <c r="AV125" i="10"/>
  <c r="AT207" i="10"/>
  <c r="AR61" i="10"/>
  <c r="AR64" i="10" s="1"/>
  <c r="AV39" i="10"/>
  <c r="AR125" i="10"/>
  <c r="AV147" i="10"/>
  <c r="AU207" i="10"/>
  <c r="AS36" i="10"/>
  <c r="AS63" i="10" s="1"/>
  <c r="AS61" i="10"/>
  <c r="AS64" i="10" s="1"/>
  <c r="AV151" i="10"/>
  <c r="AV161" i="10" s="1"/>
  <c r="AV173" i="10" s="1"/>
  <c r="AV196" i="10" s="1"/>
  <c r="AV143" i="10"/>
  <c r="AU82" i="10"/>
  <c r="AR82" i="10"/>
  <c r="AT109" i="10"/>
  <c r="AV97" i="10"/>
  <c r="AU159" i="10"/>
  <c r="AV158" i="10"/>
  <c r="AV167" i="10"/>
  <c r="AV174" i="10"/>
  <c r="AV194" i="10" s="1"/>
  <c r="AV85" i="10"/>
  <c r="AV180" i="9"/>
  <c r="AB194" i="10"/>
  <c r="AA128" i="10"/>
  <c r="AD128" i="10"/>
  <c r="Z125" i="10"/>
  <c r="Z126" i="10" s="1"/>
  <c r="AD139" i="10"/>
  <c r="Z68" i="10"/>
  <c r="AD138" i="10"/>
  <c r="AD168" i="10"/>
  <c r="AD148" i="10"/>
  <c r="AD178" i="10"/>
  <c r="AD146" i="10"/>
  <c r="AD145" i="10"/>
  <c r="AA116" i="10"/>
  <c r="Z113" i="10"/>
  <c r="Z65" i="10"/>
  <c r="AD122" i="10"/>
  <c r="AD125" i="10" s="1"/>
  <c r="AD61" i="10"/>
  <c r="AD64" i="10" s="1"/>
  <c r="AD65" i="10" s="1"/>
  <c r="AD126" i="10"/>
  <c r="Z109" i="10"/>
  <c r="AD94" i="10"/>
  <c r="AD109" i="10" s="1"/>
  <c r="AC132" i="10"/>
  <c r="AC209" i="10" s="1"/>
  <c r="AC218" i="10" s="1"/>
  <c r="AC151" i="10"/>
  <c r="AC161" i="10" s="1"/>
  <c r="AC173" i="10" s="1"/>
  <c r="AC196" i="10" s="1"/>
  <c r="AD176" i="10"/>
  <c r="Z207" i="10"/>
  <c r="AB113" i="10"/>
  <c r="AD151" i="10"/>
  <c r="AD161" i="10" s="1"/>
  <c r="AD173" i="10" s="1"/>
  <c r="AD196" i="10" s="1"/>
  <c r="Z3" i="10"/>
  <c r="AC113" i="10"/>
  <c r="AA141" i="10"/>
  <c r="AD140" i="10"/>
  <c r="AD154" i="10"/>
  <c r="AD152" i="10"/>
  <c r="AD199" i="10"/>
  <c r="AD207" i="10" s="1"/>
  <c r="AD80" i="10"/>
  <c r="AD123" i="10"/>
  <c r="AA63" i="10"/>
  <c r="AC65" i="10"/>
  <c r="AC111" i="10" s="1"/>
  <c r="AC116" i="10" s="1"/>
  <c r="AD212" i="10"/>
  <c r="AD216" i="10" s="1"/>
  <c r="AB63" i="10"/>
  <c r="Z216" i="10"/>
  <c r="AD74" i="10"/>
  <c r="P113" i="10"/>
  <c r="D111" i="10"/>
  <c r="K127" i="10"/>
  <c r="K111" i="10"/>
  <c r="K116" i="10" s="1"/>
  <c r="K113" i="10"/>
  <c r="O154" i="10"/>
  <c r="R154" i="10" s="1"/>
  <c r="O63" i="10"/>
  <c r="P154" i="10"/>
  <c r="P159" i="10" s="1"/>
  <c r="F122" i="10"/>
  <c r="F125" i="10" s="1"/>
  <c r="R88" i="10"/>
  <c r="C153" i="10"/>
  <c r="B178" i="10"/>
  <c r="L140" i="10"/>
  <c r="F93" i="10"/>
  <c r="E154" i="10"/>
  <c r="E159" i="10" s="1"/>
  <c r="L36" i="10"/>
  <c r="L63" i="10" s="1"/>
  <c r="L80" i="10"/>
  <c r="H121" i="10"/>
  <c r="L121" i="10" s="1"/>
  <c r="H154" i="10"/>
  <c r="P63" i="10"/>
  <c r="Q154" i="10"/>
  <c r="Q159" i="10" s="1"/>
  <c r="H68" i="10"/>
  <c r="N2" i="10"/>
  <c r="N69" i="10" s="1"/>
  <c r="R69" i="10" s="1"/>
  <c r="Q63" i="10"/>
  <c r="Q129" i="10" s="1"/>
  <c r="D132" i="10"/>
  <c r="B164" i="10"/>
  <c r="C109" i="10"/>
  <c r="C110" i="10" s="1"/>
  <c r="B144" i="10"/>
  <c r="B168" i="10"/>
  <c r="B145" i="10"/>
  <c r="L113" i="10"/>
  <c r="Q125" i="10"/>
  <c r="Q126" i="10" s="1"/>
  <c r="F123" i="10"/>
  <c r="B146" i="10"/>
  <c r="B148" i="10"/>
  <c r="F112" i="10"/>
  <c r="L145" i="10"/>
  <c r="H128" i="10"/>
  <c r="H139" i="10"/>
  <c r="N17" i="10"/>
  <c r="R128" i="10"/>
  <c r="O109" i="10"/>
  <c r="O110" i="10" s="1"/>
  <c r="N109" i="10"/>
  <c r="N110" i="10" s="1"/>
  <c r="R61" i="10"/>
  <c r="R64" i="10" s="1"/>
  <c r="R65" i="10" s="1"/>
  <c r="N63" i="10"/>
  <c r="Q65" i="10"/>
  <c r="P109" i="10"/>
  <c r="P110" i="10" s="1"/>
  <c r="R102" i="10"/>
  <c r="R124" i="10"/>
  <c r="R135" i="10"/>
  <c r="R108" i="10"/>
  <c r="R113" i="10"/>
  <c r="R197" i="10"/>
  <c r="R207" i="10" s="1"/>
  <c r="Q143" i="10"/>
  <c r="Q151" i="10"/>
  <c r="Q161" i="10" s="1"/>
  <c r="Q173" i="10" s="1"/>
  <c r="Q196" i="10" s="1"/>
  <c r="R151" i="10"/>
  <c r="R161" i="10" s="1"/>
  <c r="R173" i="10" s="1"/>
  <c r="R196" i="10" s="1"/>
  <c r="R143" i="10"/>
  <c r="P82" i="10"/>
  <c r="R80" i="10"/>
  <c r="R177" i="10"/>
  <c r="P194" i="10"/>
  <c r="O82" i="10"/>
  <c r="L151" i="10"/>
  <c r="L161" i="10" s="1"/>
  <c r="L173" i="10" s="1"/>
  <c r="L196" i="10" s="1"/>
  <c r="L143" i="10"/>
  <c r="J63" i="10"/>
  <c r="J127" i="10" s="1"/>
  <c r="J128" i="10"/>
  <c r="J154" i="10"/>
  <c r="J159" i="10" s="1"/>
  <c r="L207" i="10"/>
  <c r="K65" i="10"/>
  <c r="K129" i="10"/>
  <c r="K132" i="10"/>
  <c r="L106" i="10"/>
  <c r="L123" i="10"/>
  <c r="I125" i="10"/>
  <c r="I126" i="10" s="1"/>
  <c r="K151" i="10"/>
  <c r="K161" i="10" s="1"/>
  <c r="K173" i="10" s="1"/>
  <c r="K196" i="10" s="1"/>
  <c r="K143" i="10"/>
  <c r="H65" i="10"/>
  <c r="H111" i="10" s="1"/>
  <c r="I63" i="10"/>
  <c r="I128" i="10"/>
  <c r="I159" i="10"/>
  <c r="H82" i="10"/>
  <c r="L152" i="10"/>
  <c r="H109" i="10"/>
  <c r="H110" i="10" s="1"/>
  <c r="L93" i="10"/>
  <c r="L61" i="10"/>
  <c r="L64" i="10" s="1"/>
  <c r="L65" i="10" s="1"/>
  <c r="H125" i="10"/>
  <c r="H126" i="10" s="1"/>
  <c r="L102" i="10"/>
  <c r="K154" i="10"/>
  <c r="K159" i="10" s="1"/>
  <c r="H207" i="10"/>
  <c r="L164" i="10"/>
  <c r="L68" i="10"/>
  <c r="L153" i="10"/>
  <c r="L119" i="10"/>
  <c r="L124" i="10"/>
  <c r="H193" i="10"/>
  <c r="L193" i="10" s="1"/>
  <c r="L178" i="10"/>
  <c r="L194" i="10" s="1"/>
  <c r="L139" i="10"/>
  <c r="L168" i="10"/>
  <c r="H156" i="10"/>
  <c r="L156" i="10" s="1"/>
  <c r="F63" i="10"/>
  <c r="F105" i="10"/>
  <c r="AV50" i="4"/>
  <c r="AR63" i="4"/>
  <c r="F148" i="10"/>
  <c r="B68" i="10"/>
  <c r="F145" i="10"/>
  <c r="F168" i="10"/>
  <c r="F139" i="10"/>
  <c r="F138" i="10"/>
  <c r="F164" i="10"/>
  <c r="F146" i="10"/>
  <c r="F61" i="10"/>
  <c r="F64" i="10" s="1"/>
  <c r="B65" i="10"/>
  <c r="B111" i="10" s="1"/>
  <c r="B113" i="10"/>
  <c r="E151" i="10"/>
  <c r="E161" i="10" s="1"/>
  <c r="E173" i="10" s="1"/>
  <c r="E196" i="10" s="1"/>
  <c r="E143" i="10"/>
  <c r="B207" i="10"/>
  <c r="F110" i="10"/>
  <c r="E65" i="10"/>
  <c r="E127" i="10" s="1"/>
  <c r="E132" i="10" s="1"/>
  <c r="F102" i="10"/>
  <c r="C113" i="10"/>
  <c r="C65" i="10"/>
  <c r="C127" i="10" s="1"/>
  <c r="F151" i="10"/>
  <c r="F161" i="10" s="1"/>
  <c r="F173" i="10" s="1"/>
  <c r="F196" i="10" s="1"/>
  <c r="F143" i="10"/>
  <c r="F199" i="10"/>
  <c r="F207" i="10" s="1"/>
  <c r="E113" i="10"/>
  <c r="F216" i="10"/>
  <c r="E129" i="10"/>
  <c r="D113" i="10"/>
  <c r="D116" i="10" s="1"/>
  <c r="D209" i="10" s="1"/>
  <c r="D65" i="10"/>
  <c r="B125" i="10"/>
  <c r="B126" i="10" s="1"/>
  <c r="C82" i="10"/>
  <c r="F140" i="10"/>
  <c r="D82" i="10"/>
  <c r="B129" i="10"/>
  <c r="F162" i="10"/>
  <c r="N148" i="9"/>
  <c r="AV76" i="9"/>
  <c r="AV212" i="9"/>
  <c r="AV216" i="9" s="1"/>
  <c r="AU216" i="9"/>
  <c r="AS109" i="9"/>
  <c r="AV152" i="9"/>
  <c r="AV30" i="9"/>
  <c r="AU36" i="9"/>
  <c r="AU63" i="9" s="1"/>
  <c r="AU65" i="9" s="1"/>
  <c r="AT132" i="9"/>
  <c r="AU143" i="9"/>
  <c r="AU151" i="9"/>
  <c r="AU161" i="9" s="1"/>
  <c r="AU173" i="9" s="1"/>
  <c r="AU196" i="9" s="1"/>
  <c r="AT61" i="9"/>
  <c r="AT64" i="9" s="1"/>
  <c r="AT65" i="9" s="1"/>
  <c r="AV39" i="9"/>
  <c r="AV61" i="9" s="1"/>
  <c r="AV64" i="9" s="1"/>
  <c r="AU61" i="9"/>
  <c r="AU64" i="9" s="1"/>
  <c r="AT171" i="9"/>
  <c r="AV202" i="9"/>
  <c r="AT207" i="9"/>
  <c r="AT82" i="9"/>
  <c r="AS171" i="9"/>
  <c r="AU194" i="9"/>
  <c r="AU82" i="9"/>
  <c r="AV85" i="9"/>
  <c r="AV88" i="9" s="1"/>
  <c r="AT88" i="9"/>
  <c r="AV143" i="9"/>
  <c r="AV151" i="9"/>
  <c r="AV161" i="9" s="1"/>
  <c r="AV173" i="9" s="1"/>
  <c r="AV196" i="9" s="1"/>
  <c r="AU116" i="9"/>
  <c r="AT125" i="9"/>
  <c r="AV119" i="9"/>
  <c r="AV125" i="9" s="1"/>
  <c r="AV154" i="9"/>
  <c r="AT159" i="9"/>
  <c r="AR207" i="9"/>
  <c r="AR216" i="9"/>
  <c r="AR109" i="9"/>
  <c r="AR132" i="9"/>
  <c r="AV165" i="9"/>
  <c r="AU171" i="9"/>
  <c r="AT194" i="9"/>
  <c r="AV174" i="9"/>
  <c r="AS194" i="9"/>
  <c r="AR61" i="9"/>
  <c r="AR64" i="9" s="1"/>
  <c r="AT109" i="9"/>
  <c r="AT116" i="9"/>
  <c r="AS125" i="9"/>
  <c r="AU207" i="9"/>
  <c r="AU209" i="9" s="1"/>
  <c r="AR36" i="9"/>
  <c r="AR63" i="9" s="1"/>
  <c r="AU132" i="9"/>
  <c r="AV126" i="9"/>
  <c r="AV132" i="9" s="1"/>
  <c r="AT141" i="9"/>
  <c r="AV135" i="9"/>
  <c r="AS36" i="9"/>
  <c r="AS63" i="9" s="1"/>
  <c r="AV109" i="9"/>
  <c r="AR17" i="9"/>
  <c r="AV44" i="9"/>
  <c r="AS61" i="9"/>
  <c r="AS64" i="9" s="1"/>
  <c r="AS82" i="9"/>
  <c r="AS149" i="9"/>
  <c r="AV27" i="9"/>
  <c r="AV36" i="9" s="1"/>
  <c r="AV63" i="9" s="1"/>
  <c r="AV162" i="9"/>
  <c r="AB109" i="9"/>
  <c r="AA125" i="9"/>
  <c r="AD123" i="9"/>
  <c r="Z109" i="9"/>
  <c r="AD61" i="9"/>
  <c r="AD64" i="9" s="1"/>
  <c r="AD36" i="9"/>
  <c r="AD63" i="9" s="1"/>
  <c r="AD65" i="9" s="1"/>
  <c r="Z128" i="9"/>
  <c r="AA82" i="9"/>
  <c r="Z125" i="9"/>
  <c r="AD121" i="9"/>
  <c r="AC116" i="9"/>
  <c r="AA65" i="9"/>
  <c r="AA129" i="9"/>
  <c r="AC143" i="9"/>
  <c r="AC151" i="9"/>
  <c r="AC161" i="9" s="1"/>
  <c r="AC173" i="9" s="1"/>
  <c r="AC196" i="9" s="1"/>
  <c r="AB65" i="9"/>
  <c r="AB129" i="9"/>
  <c r="AD151" i="9"/>
  <c r="AD161" i="9" s="1"/>
  <c r="AD173" i="9" s="1"/>
  <c r="AD196" i="9" s="1"/>
  <c r="AD143" i="9"/>
  <c r="AC132" i="9"/>
  <c r="AD146" i="9"/>
  <c r="Z68" i="9"/>
  <c r="AD139" i="9"/>
  <c r="AD138" i="9"/>
  <c r="AD168" i="9"/>
  <c r="AD145" i="9"/>
  <c r="AD148" i="9"/>
  <c r="AD178" i="9"/>
  <c r="AA116" i="9"/>
  <c r="AD197" i="9"/>
  <c r="AD207" i="9" s="1"/>
  <c r="AD122" i="9"/>
  <c r="AD176" i="9"/>
  <c r="AD93" i="9"/>
  <c r="AD109" i="9" s="1"/>
  <c r="AD140" i="9"/>
  <c r="AD152" i="9"/>
  <c r="AB113" i="9"/>
  <c r="AA128" i="9"/>
  <c r="AD128" i="9" s="1"/>
  <c r="Z113" i="9"/>
  <c r="Z63" i="9"/>
  <c r="AC113" i="9"/>
  <c r="AB154" i="9"/>
  <c r="AB159" i="9" s="1"/>
  <c r="AC129" i="9"/>
  <c r="AC65" i="9"/>
  <c r="AD74" i="9"/>
  <c r="P129" i="9"/>
  <c r="P65" i="9"/>
  <c r="P127" i="9"/>
  <c r="P82" i="9"/>
  <c r="R81" i="9"/>
  <c r="H121" i="9"/>
  <c r="L121" i="9" s="1"/>
  <c r="H154" i="9"/>
  <c r="L154" i="9" s="1"/>
  <c r="F139" i="9"/>
  <c r="B148" i="9"/>
  <c r="F148" i="9" s="1"/>
  <c r="B146" i="9"/>
  <c r="F146" i="9" s="1"/>
  <c r="B68" i="9"/>
  <c r="B164" i="9"/>
  <c r="B168" i="9"/>
  <c r="B145" i="9"/>
  <c r="B144" i="9"/>
  <c r="B139" i="9"/>
  <c r="B138" i="9"/>
  <c r="B178" i="9"/>
  <c r="F178" i="9" s="1"/>
  <c r="D113" i="9"/>
  <c r="F113" i="9" s="1"/>
  <c r="B129" i="9"/>
  <c r="B127" i="9"/>
  <c r="C153" i="9"/>
  <c r="C159" i="9" s="1"/>
  <c r="H113" i="9"/>
  <c r="I113" i="9"/>
  <c r="I141" i="9"/>
  <c r="L140" i="9"/>
  <c r="P111" i="9"/>
  <c r="J111" i="9"/>
  <c r="J113" i="9"/>
  <c r="O65" i="9"/>
  <c r="O127" i="9" s="1"/>
  <c r="O132" i="9" s="1"/>
  <c r="O129" i="9"/>
  <c r="O109" i="9"/>
  <c r="O110" i="9" s="1"/>
  <c r="R104" i="9"/>
  <c r="E65" i="9"/>
  <c r="R178" i="9"/>
  <c r="N121" i="9"/>
  <c r="L170" i="9"/>
  <c r="D82" i="9"/>
  <c r="R123" i="9"/>
  <c r="N138" i="9"/>
  <c r="L145" i="9"/>
  <c r="L61" i="9"/>
  <c r="L64" i="9" s="1"/>
  <c r="N139" i="9"/>
  <c r="P154" i="9"/>
  <c r="P159" i="9" s="1"/>
  <c r="F36" i="9"/>
  <c r="F63" i="9" s="1"/>
  <c r="F81" i="9"/>
  <c r="I125" i="9"/>
  <c r="I126" i="9" s="1"/>
  <c r="R61" i="9"/>
  <c r="R64" i="9" s="1"/>
  <c r="O113" i="9"/>
  <c r="N144" i="9"/>
  <c r="L36" i="9"/>
  <c r="L63" i="9" s="1"/>
  <c r="N154" i="9"/>
  <c r="R36" i="9"/>
  <c r="R63" i="9" s="1"/>
  <c r="R65" i="9" s="1"/>
  <c r="H156" i="9"/>
  <c r="L156" i="9" s="1"/>
  <c r="N145" i="9"/>
  <c r="H170" i="9"/>
  <c r="N178" i="9"/>
  <c r="I153" i="9"/>
  <c r="N164" i="9"/>
  <c r="H138" i="9"/>
  <c r="H157" i="9"/>
  <c r="H178" i="9"/>
  <c r="L178" i="9" s="1"/>
  <c r="N63" i="9"/>
  <c r="N146" i="9"/>
  <c r="N168" i="9"/>
  <c r="AR3" i="4"/>
  <c r="AR17" i="4"/>
  <c r="N109" i="9"/>
  <c r="P194" i="9"/>
  <c r="O141" i="9"/>
  <c r="R151" i="9"/>
  <c r="R161" i="9" s="1"/>
  <c r="R173" i="9" s="1"/>
  <c r="R196" i="9" s="1"/>
  <c r="R143" i="9"/>
  <c r="R80" i="9"/>
  <c r="R135" i="9"/>
  <c r="N207" i="9"/>
  <c r="Q151" i="9"/>
  <c r="Q161" i="9" s="1"/>
  <c r="Q173" i="9" s="1"/>
  <c r="Q196" i="9" s="1"/>
  <c r="Q143" i="9"/>
  <c r="R101" i="9"/>
  <c r="P113" i="9"/>
  <c r="Q113" i="9"/>
  <c r="R102" i="9"/>
  <c r="R109" i="9" s="1"/>
  <c r="R177" i="9"/>
  <c r="R164" i="9"/>
  <c r="N68" i="9"/>
  <c r="R128" i="9"/>
  <c r="R88" i="9"/>
  <c r="R197" i="9"/>
  <c r="R207" i="9" s="1"/>
  <c r="P132" i="9"/>
  <c r="R121" i="9"/>
  <c r="R125" i="9" s="1"/>
  <c r="Q154" i="9"/>
  <c r="Q159" i="9" s="1"/>
  <c r="Q63" i="9"/>
  <c r="O82" i="9"/>
  <c r="R180" i="9"/>
  <c r="R163" i="9"/>
  <c r="H207" i="9"/>
  <c r="I109" i="9"/>
  <c r="I110" i="9" s="1"/>
  <c r="J194" i="9"/>
  <c r="J82" i="9"/>
  <c r="L80" i="9"/>
  <c r="L143" i="9"/>
  <c r="L151" i="9"/>
  <c r="L161" i="9" s="1"/>
  <c r="L173" i="9" s="1"/>
  <c r="L196" i="9" s="1"/>
  <c r="K151" i="9"/>
  <c r="K161" i="9" s="1"/>
  <c r="K173" i="9" s="1"/>
  <c r="K196" i="9" s="1"/>
  <c r="K143" i="9"/>
  <c r="L152" i="9"/>
  <c r="L68" i="9"/>
  <c r="L193" i="9"/>
  <c r="L197" i="9"/>
  <c r="L207" i="9" s="1"/>
  <c r="J65" i="9"/>
  <c r="J129" i="9"/>
  <c r="H109" i="9"/>
  <c r="H110" i="9" s="1"/>
  <c r="L157" i="9"/>
  <c r="K63" i="9"/>
  <c r="H82" i="9"/>
  <c r="L93" i="9"/>
  <c r="H63" i="9"/>
  <c r="H128" i="9"/>
  <c r="I63" i="9"/>
  <c r="I128" i="9"/>
  <c r="I159" i="9"/>
  <c r="J128" i="9"/>
  <c r="J132" i="9" s="1"/>
  <c r="J154" i="9"/>
  <c r="J159" i="9" s="1"/>
  <c r="H125" i="9"/>
  <c r="H126" i="9" s="1"/>
  <c r="K128" i="9"/>
  <c r="L153" i="9"/>
  <c r="L119" i="9"/>
  <c r="L102" i="9"/>
  <c r="L139" i="9"/>
  <c r="B207" i="9"/>
  <c r="C109" i="9"/>
  <c r="C110" i="9" s="1"/>
  <c r="F126" i="9"/>
  <c r="E111" i="9"/>
  <c r="E116" i="9" s="1"/>
  <c r="E143" i="9"/>
  <c r="E151" i="9"/>
  <c r="E161" i="9" s="1"/>
  <c r="E173" i="9" s="1"/>
  <c r="E196" i="9" s="1"/>
  <c r="E132" i="9"/>
  <c r="F65" i="9"/>
  <c r="F143" i="9"/>
  <c r="F151" i="9"/>
  <c r="F161" i="9" s="1"/>
  <c r="F173" i="9" s="1"/>
  <c r="F196" i="9" s="1"/>
  <c r="C82" i="9"/>
  <c r="F106" i="9"/>
  <c r="F152" i="9"/>
  <c r="F164" i="9"/>
  <c r="F176" i="9"/>
  <c r="F123" i="9"/>
  <c r="E129" i="9"/>
  <c r="B109" i="9"/>
  <c r="B110" i="9" s="1"/>
  <c r="F102" i="9"/>
  <c r="E127" i="9"/>
  <c r="B65" i="9"/>
  <c r="B111" i="9" s="1"/>
  <c r="C63" i="9"/>
  <c r="D128" i="9"/>
  <c r="F145" i="9"/>
  <c r="D63" i="9"/>
  <c r="B82" i="9"/>
  <c r="E128" i="9"/>
  <c r="F124" i="9"/>
  <c r="F197" i="9"/>
  <c r="F207" i="9" s="1"/>
  <c r="F119" i="9"/>
  <c r="F168" i="9"/>
  <c r="AR109" i="4"/>
  <c r="AT209" i="4"/>
  <c r="AT218" i="4" s="1"/>
  <c r="AV61" i="4"/>
  <c r="AV64" i="4" s="1"/>
  <c r="AS65" i="4"/>
  <c r="AU151" i="4"/>
  <c r="AU161" i="4" s="1"/>
  <c r="AU173" i="4" s="1"/>
  <c r="AU196" i="4" s="1"/>
  <c r="AU143" i="4"/>
  <c r="AV207" i="4"/>
  <c r="AV151" i="4"/>
  <c r="AV161" i="4" s="1"/>
  <c r="AV173" i="4" s="1"/>
  <c r="AV196" i="4" s="1"/>
  <c r="AV143" i="4"/>
  <c r="AV27" i="4"/>
  <c r="AV36" i="4" s="1"/>
  <c r="AV94" i="4"/>
  <c r="AR207" i="4"/>
  <c r="AR61" i="4"/>
  <c r="AR64" i="4" s="1"/>
  <c r="AV97" i="4"/>
  <c r="AV154" i="4"/>
  <c r="AU159" i="4"/>
  <c r="AU209" i="4" s="1"/>
  <c r="AU218" i="4" s="1"/>
  <c r="AV174" i="4"/>
  <c r="AV212" i="4"/>
  <c r="AV216" i="4" s="1"/>
  <c r="AV162" i="4"/>
  <c r="AV70" i="4"/>
  <c r="AV120" i="4"/>
  <c r="AR88" i="4"/>
  <c r="AV85" i="4"/>
  <c r="AV88" i="4" s="1"/>
  <c r="B193" i="4"/>
  <c r="H193" i="4"/>
  <c r="AA122" i="4"/>
  <c r="Z121" i="4"/>
  <c r="D3" i="18"/>
  <c r="I38" i="18" s="1"/>
  <c r="Z206" i="4"/>
  <c r="Z207" i="4" s="1"/>
  <c r="Z205" i="4"/>
  <c r="AD205" i="4" s="1"/>
  <c r="Z203" i="4"/>
  <c r="AD203" i="4" s="1"/>
  <c r="Z202" i="4"/>
  <c r="Z201" i="4"/>
  <c r="Z200" i="4"/>
  <c r="Z199" i="4"/>
  <c r="AD199" i="4" s="1"/>
  <c r="Z197" i="4"/>
  <c r="Z185" i="4"/>
  <c r="Z184" i="4"/>
  <c r="Z183" i="4"/>
  <c r="Z182" i="4"/>
  <c r="Z177" i="4"/>
  <c r="Z176" i="4"/>
  <c r="AD176" i="4" s="1"/>
  <c r="Z175" i="4"/>
  <c r="Z174" i="4"/>
  <c r="T167" i="4"/>
  <c r="Z165" i="4"/>
  <c r="AA154" i="4"/>
  <c r="Z152" i="4"/>
  <c r="AA140" i="4"/>
  <c r="T135" i="4"/>
  <c r="AA128" i="4"/>
  <c r="Z123" i="4"/>
  <c r="AA123" i="4"/>
  <c r="Z119" i="4"/>
  <c r="AD119" i="4" s="1"/>
  <c r="Z112" i="4"/>
  <c r="AC111" i="4"/>
  <c r="AB111" i="4"/>
  <c r="AC110" i="4"/>
  <c r="AB110" i="4"/>
  <c r="AA110" i="4"/>
  <c r="Z110" i="4"/>
  <c r="AB103" i="4"/>
  <c r="Z101" i="4"/>
  <c r="Z99" i="4"/>
  <c r="Z98" i="4"/>
  <c r="Z93" i="4"/>
  <c r="AB127" i="4"/>
  <c r="AB181" i="4"/>
  <c r="AB194" i="4" s="1"/>
  <c r="AB180" i="4"/>
  <c r="AD180" i="4" s="1"/>
  <c r="AB81" i="4"/>
  <c r="AB80" i="4"/>
  <c r="AA74" i="4"/>
  <c r="AD74" i="4" s="1"/>
  <c r="Z69" i="4"/>
  <c r="AD220" i="4"/>
  <c r="AC220" i="4"/>
  <c r="AB220" i="4"/>
  <c r="AA220" i="4"/>
  <c r="Z220" i="4"/>
  <c r="AC216" i="4"/>
  <c r="AB216" i="4"/>
  <c r="AA216" i="4"/>
  <c r="Z216" i="4"/>
  <c r="AD215" i="4"/>
  <c r="AD214" i="4"/>
  <c r="AD213" i="4"/>
  <c r="AD212" i="4"/>
  <c r="AD216" i="4" s="1"/>
  <c r="AC207" i="4"/>
  <c r="AB207" i="4"/>
  <c r="AA207" i="4"/>
  <c r="AD204" i="4"/>
  <c r="AD202" i="4"/>
  <c r="AD201" i="4"/>
  <c r="AD200" i="4"/>
  <c r="AD198" i="4"/>
  <c r="AD197" i="4"/>
  <c r="AC194" i="4"/>
  <c r="AA194" i="4"/>
  <c r="AD192" i="4"/>
  <c r="AD191" i="4"/>
  <c r="AD190" i="4"/>
  <c r="AD189" i="4"/>
  <c r="AD188" i="4"/>
  <c r="AD187" i="4"/>
  <c r="AD186" i="4"/>
  <c r="AD185" i="4"/>
  <c r="AD184" i="4"/>
  <c r="AD183" i="4"/>
  <c r="AD182" i="4"/>
  <c r="AD179" i="4"/>
  <c r="AD177" i="4"/>
  <c r="AD175" i="4"/>
  <c r="AC171" i="4"/>
  <c r="AB171" i="4"/>
  <c r="AA171" i="4"/>
  <c r="AD169" i="4"/>
  <c r="AD167" i="4"/>
  <c r="AD166" i="4"/>
  <c r="AD165" i="4"/>
  <c r="AD163" i="4"/>
  <c r="AD162" i="4"/>
  <c r="AC159" i="4"/>
  <c r="AD158" i="4"/>
  <c r="AD155" i="4"/>
  <c r="AC154" i="4"/>
  <c r="AB154" i="4"/>
  <c r="AB159" i="4" s="1"/>
  <c r="AD152" i="4"/>
  <c r="AC149" i="4"/>
  <c r="AB149" i="4"/>
  <c r="AA149" i="4"/>
  <c r="AD147" i="4"/>
  <c r="AC141" i="4"/>
  <c r="AB141" i="4"/>
  <c r="AA141" i="4"/>
  <c r="AD137" i="4"/>
  <c r="AD136" i="4"/>
  <c r="AD131" i="4"/>
  <c r="AD130" i="4"/>
  <c r="AC125" i="4"/>
  <c r="AC126" i="4" s="1"/>
  <c r="AC132" i="4" s="1"/>
  <c r="AB125" i="4"/>
  <c r="AB126" i="4" s="1"/>
  <c r="AD124" i="4"/>
  <c r="Z124" i="4"/>
  <c r="AC123" i="4"/>
  <c r="AB123" i="4"/>
  <c r="AD122" i="4"/>
  <c r="AD120" i="4"/>
  <c r="AD115" i="4"/>
  <c r="AD114" i="4"/>
  <c r="AC112" i="4"/>
  <c r="AB112" i="4"/>
  <c r="AA112" i="4"/>
  <c r="AD112" i="4"/>
  <c r="AC109" i="4"/>
  <c r="AB109" i="4"/>
  <c r="AA109" i="4"/>
  <c r="AD108" i="4"/>
  <c r="AD107" i="4"/>
  <c r="AD106" i="4"/>
  <c r="AD105" i="4"/>
  <c r="AD104" i="4"/>
  <c r="AD103" i="4"/>
  <c r="AD102" i="4"/>
  <c r="AD101" i="4"/>
  <c r="AD100" i="4"/>
  <c r="Z109" i="4"/>
  <c r="AD98" i="4"/>
  <c r="AD97" i="4"/>
  <c r="AD96" i="4"/>
  <c r="AD95" i="4"/>
  <c r="AD94" i="4"/>
  <c r="AD93" i="4"/>
  <c r="AD88" i="4"/>
  <c r="AC88" i="4"/>
  <c r="AB88" i="4"/>
  <c r="AA88" i="4"/>
  <c r="Z88" i="4"/>
  <c r="AD84" i="4"/>
  <c r="AD91" i="4" s="1"/>
  <c r="AD118" i="4" s="1"/>
  <c r="AD134" i="4" s="1"/>
  <c r="AC82" i="4"/>
  <c r="AA82" i="4"/>
  <c r="AD81" i="4"/>
  <c r="AD79" i="4"/>
  <c r="AD78" i="4"/>
  <c r="AD77" i="4"/>
  <c r="AD76" i="4"/>
  <c r="AD75" i="4"/>
  <c r="AA75" i="4"/>
  <c r="AD73" i="4"/>
  <c r="AD72" i="4"/>
  <c r="Z70" i="4"/>
  <c r="AD70" i="4" s="1"/>
  <c r="AD67" i="4"/>
  <c r="AC67" i="4"/>
  <c r="AC84" i="4" s="1"/>
  <c r="AC91" i="4" s="1"/>
  <c r="AC118" i="4" s="1"/>
  <c r="AC134" i="4" s="1"/>
  <c r="AC64" i="4"/>
  <c r="AC65" i="4" s="1"/>
  <c r="AC127" i="4" s="1"/>
  <c r="AC63" i="4"/>
  <c r="AC129" i="4" s="1"/>
  <c r="AA63" i="4"/>
  <c r="AA129" i="4" s="1"/>
  <c r="AC61" i="4"/>
  <c r="AB61" i="4"/>
  <c r="AB64" i="4" s="1"/>
  <c r="AA61" i="4"/>
  <c r="AA64" i="4" s="1"/>
  <c r="Z61" i="4"/>
  <c r="Z64" i="4" s="1"/>
  <c r="Z113" i="4" s="1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C38" i="4"/>
  <c r="AC36" i="4"/>
  <c r="AB36" i="4"/>
  <c r="AB63" i="4" s="1"/>
  <c r="AA36" i="4"/>
  <c r="Z36" i="4"/>
  <c r="AD35" i="4"/>
  <c r="AD34" i="4"/>
  <c r="AD33" i="4"/>
  <c r="AD32" i="4"/>
  <c r="AD31" i="4"/>
  <c r="AD30" i="4"/>
  <c r="AD29" i="4"/>
  <c r="AD28" i="4"/>
  <c r="AD27" i="4"/>
  <c r="AD26" i="4"/>
  <c r="AC26" i="4"/>
  <c r="AD25" i="4"/>
  <c r="AD24" i="4"/>
  <c r="AD23" i="4"/>
  <c r="AD22" i="4"/>
  <c r="AD21" i="4"/>
  <c r="AA17" i="4"/>
  <c r="Z17" i="4"/>
  <c r="Z168" i="4" s="1"/>
  <c r="Z4" i="4"/>
  <c r="Z3" i="4"/>
  <c r="Z2" i="4"/>
  <c r="U74" i="4"/>
  <c r="T69" i="4"/>
  <c r="N206" i="4"/>
  <c r="N205" i="4"/>
  <c r="N203" i="4"/>
  <c r="N202" i="4"/>
  <c r="N201" i="4"/>
  <c r="N200" i="4"/>
  <c r="N199" i="4"/>
  <c r="N198" i="4"/>
  <c r="N197" i="4"/>
  <c r="N185" i="4"/>
  <c r="N184" i="4"/>
  <c r="N183" i="4"/>
  <c r="R183" i="4" s="1"/>
  <c r="N182" i="4"/>
  <c r="R182" i="4" s="1"/>
  <c r="N179" i="4"/>
  <c r="N177" i="4"/>
  <c r="N176" i="4"/>
  <c r="N175" i="4"/>
  <c r="N174" i="4"/>
  <c r="R174" i="4" s="1"/>
  <c r="T165" i="3"/>
  <c r="N165" i="4"/>
  <c r="R165" i="4" s="1"/>
  <c r="N165" i="3"/>
  <c r="N163" i="4"/>
  <c r="O154" i="4"/>
  <c r="N154" i="4"/>
  <c r="N152" i="4"/>
  <c r="O140" i="4"/>
  <c r="O141" i="4" s="1"/>
  <c r="P127" i="4"/>
  <c r="O127" i="4"/>
  <c r="P126" i="4"/>
  <c r="O126" i="4"/>
  <c r="N124" i="4"/>
  <c r="N123" i="4"/>
  <c r="O123" i="4"/>
  <c r="O122" i="4"/>
  <c r="O125" i="4" s="1"/>
  <c r="N120" i="4"/>
  <c r="N119" i="4"/>
  <c r="P111" i="4"/>
  <c r="O111" i="4"/>
  <c r="P110" i="4"/>
  <c r="O110" i="4"/>
  <c r="N108" i="4"/>
  <c r="R108" i="4" s="1"/>
  <c r="N107" i="4"/>
  <c r="O106" i="4"/>
  <c r="O105" i="4"/>
  <c r="O104" i="4"/>
  <c r="R104" i="4" s="1"/>
  <c r="P102" i="4"/>
  <c r="N101" i="4"/>
  <c r="AR101" i="4" s="1"/>
  <c r="AV101" i="4" s="1"/>
  <c r="N100" i="4"/>
  <c r="R100" i="4" s="1"/>
  <c r="N99" i="4"/>
  <c r="R99" i="4" s="1"/>
  <c r="N98" i="4"/>
  <c r="N95" i="4"/>
  <c r="N94" i="4"/>
  <c r="N93" i="4"/>
  <c r="P181" i="4"/>
  <c r="P180" i="4"/>
  <c r="P194" i="4" s="1"/>
  <c r="P81" i="4"/>
  <c r="P80" i="4"/>
  <c r="O74" i="4"/>
  <c r="N69" i="4"/>
  <c r="R220" i="4"/>
  <c r="Q220" i="4"/>
  <c r="P220" i="4"/>
  <c r="O220" i="4"/>
  <c r="N220" i="4"/>
  <c r="R216" i="4"/>
  <c r="Q216" i="4"/>
  <c r="P216" i="4"/>
  <c r="O216" i="4"/>
  <c r="N216" i="4"/>
  <c r="R215" i="4"/>
  <c r="R214" i="4"/>
  <c r="R213" i="4"/>
  <c r="R212" i="4"/>
  <c r="Q207" i="4"/>
  <c r="P207" i="4"/>
  <c r="O207" i="4"/>
  <c r="R206" i="4"/>
  <c r="R205" i="4"/>
  <c r="R204" i="4"/>
  <c r="R203" i="4"/>
  <c r="R202" i="4"/>
  <c r="R201" i="4"/>
  <c r="R200" i="4"/>
  <c r="R199" i="4"/>
  <c r="R198" i="4"/>
  <c r="Q194" i="4"/>
  <c r="O194" i="4"/>
  <c r="R192" i="4"/>
  <c r="R191" i="4"/>
  <c r="R190" i="4"/>
  <c r="R189" i="4"/>
  <c r="N188" i="4"/>
  <c r="R188" i="4" s="1"/>
  <c r="R187" i="4"/>
  <c r="R186" i="4"/>
  <c r="R185" i="4"/>
  <c r="R184" i="4"/>
  <c r="R181" i="4"/>
  <c r="R179" i="4"/>
  <c r="R176" i="4"/>
  <c r="R175" i="4"/>
  <c r="Q171" i="4"/>
  <c r="P171" i="4"/>
  <c r="O171" i="4"/>
  <c r="R169" i="4"/>
  <c r="R167" i="4"/>
  <c r="R166" i="4"/>
  <c r="R162" i="4"/>
  <c r="Q159" i="4"/>
  <c r="P159" i="4"/>
  <c r="R158" i="4"/>
  <c r="R155" i="4"/>
  <c r="Q154" i="4"/>
  <c r="P154" i="4"/>
  <c r="R152" i="4"/>
  <c r="Q149" i="4"/>
  <c r="P149" i="4"/>
  <c r="O149" i="4"/>
  <c r="R147" i="4"/>
  <c r="Q141" i="4"/>
  <c r="P141" i="4"/>
  <c r="R137" i="4"/>
  <c r="R136" i="4"/>
  <c r="R131" i="4"/>
  <c r="R130" i="4"/>
  <c r="Q129" i="4"/>
  <c r="P129" i="4"/>
  <c r="Q128" i="4"/>
  <c r="Q125" i="4"/>
  <c r="Q126" i="4" s="1"/>
  <c r="P125" i="4"/>
  <c r="Q123" i="4"/>
  <c r="R122" i="4"/>
  <c r="R120" i="4"/>
  <c r="R115" i="4"/>
  <c r="R114" i="4"/>
  <c r="P113" i="4"/>
  <c r="Q112" i="4"/>
  <c r="P112" i="4"/>
  <c r="O112" i="4"/>
  <c r="N112" i="4"/>
  <c r="Q109" i="4"/>
  <c r="Q110" i="4" s="1"/>
  <c r="R107" i="4"/>
  <c r="R106" i="4"/>
  <c r="R105" i="4"/>
  <c r="R103" i="4"/>
  <c r="P109" i="4"/>
  <c r="R101" i="4"/>
  <c r="R98" i="4"/>
  <c r="R97" i="4"/>
  <c r="R96" i="4"/>
  <c r="R94" i="4"/>
  <c r="R93" i="4"/>
  <c r="Q88" i="4"/>
  <c r="P88" i="4"/>
  <c r="O88" i="4"/>
  <c r="N88" i="4"/>
  <c r="R87" i="4"/>
  <c r="R86" i="4"/>
  <c r="R88" i="4" s="1"/>
  <c r="R85" i="4"/>
  <c r="Q82" i="4"/>
  <c r="R81" i="4"/>
  <c r="R80" i="4"/>
  <c r="R79" i="4"/>
  <c r="R78" i="4"/>
  <c r="R77" i="4"/>
  <c r="R76" i="4"/>
  <c r="R75" i="4"/>
  <c r="R74" i="4"/>
  <c r="R73" i="4"/>
  <c r="R72" i="4"/>
  <c r="N71" i="4"/>
  <c r="R71" i="4" s="1"/>
  <c r="R70" i="4"/>
  <c r="N70" i="4"/>
  <c r="R69" i="4"/>
  <c r="R67" i="4"/>
  <c r="R84" i="4" s="1"/>
  <c r="R91" i="4" s="1"/>
  <c r="R118" i="4" s="1"/>
  <c r="R134" i="4" s="1"/>
  <c r="Q67" i="4"/>
  <c r="Q84" i="4" s="1"/>
  <c r="Q91" i="4" s="1"/>
  <c r="Q118" i="4" s="1"/>
  <c r="Q134" i="4" s="1"/>
  <c r="P65" i="4"/>
  <c r="O65" i="4"/>
  <c r="P64" i="4"/>
  <c r="O64" i="4"/>
  <c r="O113" i="4" s="1"/>
  <c r="Q63" i="4"/>
  <c r="P63" i="4"/>
  <c r="O63" i="4"/>
  <c r="O129" i="4" s="1"/>
  <c r="N63" i="4"/>
  <c r="N129" i="4" s="1"/>
  <c r="Q61" i="4"/>
  <c r="Q64" i="4" s="1"/>
  <c r="P61" i="4"/>
  <c r="O61" i="4"/>
  <c r="N61" i="4"/>
  <c r="N64" i="4" s="1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Q38" i="4"/>
  <c r="Q36" i="4"/>
  <c r="P36" i="4"/>
  <c r="P128" i="4" s="1"/>
  <c r="O36" i="4"/>
  <c r="O128" i="4" s="1"/>
  <c r="N36" i="4"/>
  <c r="R35" i="4"/>
  <c r="R34" i="4"/>
  <c r="R33" i="4"/>
  <c r="R32" i="4"/>
  <c r="R31" i="4"/>
  <c r="R30" i="4"/>
  <c r="R29" i="4"/>
  <c r="R28" i="4"/>
  <c r="R27" i="4"/>
  <c r="R26" i="4"/>
  <c r="Q26" i="4"/>
  <c r="R25" i="4"/>
  <c r="R24" i="4"/>
  <c r="R23" i="4"/>
  <c r="R22" i="4"/>
  <c r="R21" i="4"/>
  <c r="O17" i="4"/>
  <c r="N12" i="4"/>
  <c r="N11" i="4"/>
  <c r="N10" i="4"/>
  <c r="N9" i="4"/>
  <c r="N8" i="4"/>
  <c r="N7" i="4"/>
  <c r="N6" i="4"/>
  <c r="N4" i="4"/>
  <c r="N3" i="4" s="1"/>
  <c r="N2" i="4"/>
  <c r="H207" i="4"/>
  <c r="H206" i="4"/>
  <c r="L206" i="4" s="1"/>
  <c r="H205" i="4"/>
  <c r="H203" i="4"/>
  <c r="H202" i="4"/>
  <c r="L202" i="4" s="1"/>
  <c r="H201" i="4"/>
  <c r="H200" i="4"/>
  <c r="H199" i="4"/>
  <c r="H197" i="4"/>
  <c r="H185" i="4"/>
  <c r="L185" i="4" s="1"/>
  <c r="H184" i="4"/>
  <c r="H183" i="4"/>
  <c r="H182" i="4"/>
  <c r="H179" i="4"/>
  <c r="H178" i="4"/>
  <c r="H177" i="4"/>
  <c r="H176" i="4"/>
  <c r="H175" i="4"/>
  <c r="L175" i="4" s="1"/>
  <c r="H174" i="4"/>
  <c r="H170" i="4"/>
  <c r="H168" i="4"/>
  <c r="H167" i="4"/>
  <c r="H166" i="4"/>
  <c r="H165" i="4"/>
  <c r="H164" i="4"/>
  <c r="H157" i="4"/>
  <c r="H156" i="4"/>
  <c r="I154" i="4"/>
  <c r="H154" i="4"/>
  <c r="I153" i="4"/>
  <c r="H152" i="4"/>
  <c r="L152" i="4" s="1"/>
  <c r="H148" i="4"/>
  <c r="H146" i="4"/>
  <c r="L146" i="4" s="1"/>
  <c r="H145" i="4"/>
  <c r="L145" i="4" s="1"/>
  <c r="H144" i="4"/>
  <c r="I140" i="4"/>
  <c r="L140" i="4" s="1"/>
  <c r="H139" i="4"/>
  <c r="L139" i="4" s="1"/>
  <c r="H138" i="4"/>
  <c r="L138" i="4" s="1"/>
  <c r="H135" i="4"/>
  <c r="H141" i="4" s="1"/>
  <c r="J127" i="4"/>
  <c r="I127" i="4"/>
  <c r="J126" i="4"/>
  <c r="I126" i="4"/>
  <c r="H124" i="4"/>
  <c r="L124" i="4" s="1"/>
  <c r="I123" i="4"/>
  <c r="H123" i="4"/>
  <c r="I122" i="4"/>
  <c r="L122" i="4" s="1"/>
  <c r="H121" i="4"/>
  <c r="H120" i="4"/>
  <c r="H119" i="4"/>
  <c r="J111" i="4"/>
  <c r="I111" i="4"/>
  <c r="J110" i="4"/>
  <c r="I110" i="4"/>
  <c r="H110" i="4"/>
  <c r="H108" i="4"/>
  <c r="I106" i="4"/>
  <c r="I105" i="4"/>
  <c r="I104" i="4"/>
  <c r="L104" i="4" s="1"/>
  <c r="J102" i="4"/>
  <c r="J109" i="4" s="1"/>
  <c r="H101" i="4"/>
  <c r="L101" i="4" s="1"/>
  <c r="H99" i="4"/>
  <c r="L99" i="4" s="1"/>
  <c r="H98" i="4"/>
  <c r="H96" i="4"/>
  <c r="H95" i="4"/>
  <c r="H94" i="4"/>
  <c r="L94" i="4" s="1"/>
  <c r="H93" i="4"/>
  <c r="J181" i="4"/>
  <c r="J180" i="4"/>
  <c r="L180" i="4" s="1"/>
  <c r="J81" i="4"/>
  <c r="J80" i="4"/>
  <c r="J82" i="4" s="1"/>
  <c r="B69" i="4"/>
  <c r="H69" i="4"/>
  <c r="H82" i="4" s="1"/>
  <c r="I74" i="4"/>
  <c r="L220" i="4"/>
  <c r="K220" i="4"/>
  <c r="J220" i="4"/>
  <c r="I220" i="4"/>
  <c r="H220" i="4"/>
  <c r="K216" i="4"/>
  <c r="J216" i="4"/>
  <c r="I216" i="4"/>
  <c r="H216" i="4"/>
  <c r="L215" i="4"/>
  <c r="L214" i="4"/>
  <c r="L213" i="4"/>
  <c r="L216" i="4" s="1"/>
  <c r="L212" i="4"/>
  <c r="K207" i="4"/>
  <c r="J207" i="4"/>
  <c r="I207" i="4"/>
  <c r="L205" i="4"/>
  <c r="L204" i="4"/>
  <c r="L203" i="4"/>
  <c r="L201" i="4"/>
  <c r="L200" i="4"/>
  <c r="L199" i="4"/>
  <c r="L198" i="4"/>
  <c r="L197" i="4"/>
  <c r="K194" i="4"/>
  <c r="I194" i="4"/>
  <c r="L192" i="4"/>
  <c r="L191" i="4"/>
  <c r="L190" i="4"/>
  <c r="L189" i="4"/>
  <c r="L188" i="4"/>
  <c r="L187" i="4"/>
  <c r="L186" i="4"/>
  <c r="L184" i="4"/>
  <c r="L183" i="4"/>
  <c r="L182" i="4"/>
  <c r="L181" i="4"/>
  <c r="J194" i="4"/>
  <c r="L179" i="4"/>
  <c r="L178" i="4"/>
  <c r="L177" i="4"/>
  <c r="L176" i="4"/>
  <c r="L174" i="4"/>
  <c r="K171" i="4"/>
  <c r="J171" i="4"/>
  <c r="I171" i="4"/>
  <c r="L170" i="4"/>
  <c r="L169" i="4"/>
  <c r="L168" i="4"/>
  <c r="L167" i="4"/>
  <c r="L166" i="4"/>
  <c r="L165" i="4"/>
  <c r="L164" i="4"/>
  <c r="L163" i="4"/>
  <c r="L162" i="4"/>
  <c r="L158" i="4"/>
  <c r="L157" i="4"/>
  <c r="L156" i="4"/>
  <c r="L155" i="4"/>
  <c r="L153" i="4"/>
  <c r="K149" i="4"/>
  <c r="J149" i="4"/>
  <c r="I149" i="4"/>
  <c r="L148" i="4"/>
  <c r="L147" i="4"/>
  <c r="L144" i="4"/>
  <c r="K141" i="4"/>
  <c r="J141" i="4"/>
  <c r="L137" i="4"/>
  <c r="L136" i="4"/>
  <c r="L131" i="4"/>
  <c r="L130" i="4"/>
  <c r="K128" i="4"/>
  <c r="J128" i="4"/>
  <c r="J125" i="4"/>
  <c r="K123" i="4"/>
  <c r="K125" i="4" s="1"/>
  <c r="K126" i="4" s="1"/>
  <c r="L120" i="4"/>
  <c r="L115" i="4"/>
  <c r="L114" i="4"/>
  <c r="J113" i="4"/>
  <c r="I113" i="4"/>
  <c r="K112" i="4"/>
  <c r="J112" i="4"/>
  <c r="L112" i="4" s="1"/>
  <c r="I112" i="4"/>
  <c r="H112" i="4"/>
  <c r="K110" i="4"/>
  <c r="K109" i="4"/>
  <c r="L108" i="4"/>
  <c r="L107" i="4"/>
  <c r="L106" i="4"/>
  <c r="L105" i="4"/>
  <c r="L103" i="4"/>
  <c r="L100" i="4"/>
  <c r="L98" i="4"/>
  <c r="L97" i="4"/>
  <c r="L96" i="4"/>
  <c r="L95" i="4"/>
  <c r="L93" i="4"/>
  <c r="L88" i="4"/>
  <c r="K88" i="4"/>
  <c r="J88" i="4"/>
  <c r="I88" i="4"/>
  <c r="H88" i="4"/>
  <c r="K82" i="4"/>
  <c r="L81" i="4"/>
  <c r="L79" i="4"/>
  <c r="L78" i="4"/>
  <c r="L77" i="4"/>
  <c r="L76" i="4"/>
  <c r="L75" i="4"/>
  <c r="L74" i="4"/>
  <c r="L73" i="4"/>
  <c r="L72" i="4"/>
  <c r="H71" i="4"/>
  <c r="L71" i="4" s="1"/>
  <c r="L70" i="4"/>
  <c r="H70" i="4"/>
  <c r="L69" i="4"/>
  <c r="H68" i="4"/>
  <c r="L68" i="4" s="1"/>
  <c r="L67" i="4"/>
  <c r="L84" i="4" s="1"/>
  <c r="L91" i="4" s="1"/>
  <c r="L118" i="4" s="1"/>
  <c r="L134" i="4" s="1"/>
  <c r="K67" i="4"/>
  <c r="K84" i="4" s="1"/>
  <c r="K91" i="4" s="1"/>
  <c r="K118" i="4" s="1"/>
  <c r="K134" i="4" s="1"/>
  <c r="J64" i="4"/>
  <c r="I64" i="4"/>
  <c r="H64" i="4"/>
  <c r="H113" i="4" s="1"/>
  <c r="K63" i="4"/>
  <c r="J63" i="4"/>
  <c r="J65" i="4" s="1"/>
  <c r="I63" i="4"/>
  <c r="I65" i="4" s="1"/>
  <c r="K61" i="4"/>
  <c r="K64" i="4" s="1"/>
  <c r="J61" i="4"/>
  <c r="I61" i="4"/>
  <c r="H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61" i="4" s="1"/>
  <c r="L64" i="4" s="1"/>
  <c r="L40" i="4"/>
  <c r="L39" i="4"/>
  <c r="L38" i="4"/>
  <c r="K38" i="4"/>
  <c r="K36" i="4"/>
  <c r="K154" i="4" s="1"/>
  <c r="K159" i="4" s="1"/>
  <c r="J36" i="4"/>
  <c r="J154" i="4" s="1"/>
  <c r="J159" i="4" s="1"/>
  <c r="I36" i="4"/>
  <c r="I128" i="4" s="1"/>
  <c r="H36" i="4"/>
  <c r="H63" i="4" s="1"/>
  <c r="L35" i="4"/>
  <c r="L34" i="4"/>
  <c r="L33" i="4"/>
  <c r="L32" i="4"/>
  <c r="L31" i="4"/>
  <c r="L30" i="4"/>
  <c r="L29" i="4"/>
  <c r="L28" i="4"/>
  <c r="L27" i="4"/>
  <c r="L36" i="4" s="1"/>
  <c r="L26" i="4"/>
  <c r="K26" i="4"/>
  <c r="L25" i="4"/>
  <c r="L24" i="4"/>
  <c r="L23" i="4"/>
  <c r="L22" i="4"/>
  <c r="L21" i="4"/>
  <c r="I17" i="4"/>
  <c r="H17" i="4"/>
  <c r="H3" i="4"/>
  <c r="H2" i="4"/>
  <c r="B206" i="4"/>
  <c r="B205" i="4"/>
  <c r="B203" i="4"/>
  <c r="B202" i="4"/>
  <c r="B201" i="4"/>
  <c r="F201" i="4" s="1"/>
  <c r="B200" i="4"/>
  <c r="B199" i="4"/>
  <c r="F199" i="4" s="1"/>
  <c r="B197" i="4"/>
  <c r="B185" i="4"/>
  <c r="B184" i="4"/>
  <c r="B183" i="4"/>
  <c r="F183" i="4" s="1"/>
  <c r="B182" i="4"/>
  <c r="B179" i="4"/>
  <c r="B178" i="4"/>
  <c r="B177" i="4"/>
  <c r="F177" i="4" s="1"/>
  <c r="B176" i="4"/>
  <c r="B175" i="4"/>
  <c r="B174" i="4"/>
  <c r="B168" i="4"/>
  <c r="F168" i="4" s="1"/>
  <c r="B167" i="4"/>
  <c r="F167" i="4" s="1"/>
  <c r="B166" i="4"/>
  <c r="F166" i="4" s="1"/>
  <c r="B165" i="4"/>
  <c r="B164" i="4"/>
  <c r="B154" i="4"/>
  <c r="C154" i="4"/>
  <c r="C153" i="4"/>
  <c r="F153" i="4" s="1"/>
  <c r="B152" i="4"/>
  <c r="F152" i="4" s="1"/>
  <c r="B148" i="4"/>
  <c r="B146" i="4"/>
  <c r="B149" i="4" s="1"/>
  <c r="B145" i="4"/>
  <c r="B144" i="4"/>
  <c r="C140" i="4"/>
  <c r="B139" i="4"/>
  <c r="B138" i="4"/>
  <c r="B135" i="4"/>
  <c r="F135" i="4" s="1"/>
  <c r="C127" i="4"/>
  <c r="C126" i="4"/>
  <c r="D126" i="4"/>
  <c r="E126" i="4"/>
  <c r="B124" i="4"/>
  <c r="C123" i="4"/>
  <c r="B123" i="4"/>
  <c r="C122" i="4"/>
  <c r="F122" i="4" s="1"/>
  <c r="B121" i="4"/>
  <c r="B120" i="4"/>
  <c r="B119" i="4"/>
  <c r="D111" i="4"/>
  <c r="C111" i="4"/>
  <c r="T56" i="8"/>
  <c r="O56" i="8"/>
  <c r="J56" i="8"/>
  <c r="E56" i="8"/>
  <c r="R55" i="8"/>
  <c r="M55" i="8"/>
  <c r="H55" i="8"/>
  <c r="C55" i="8"/>
  <c r="S48" i="8"/>
  <c r="R48" i="8"/>
  <c r="T48" i="8" s="1"/>
  <c r="O48" i="8"/>
  <c r="J48" i="8"/>
  <c r="V48" i="8" s="1"/>
  <c r="S47" i="8"/>
  <c r="R47" i="8"/>
  <c r="T47" i="8" s="1"/>
  <c r="V47" i="8" s="1"/>
  <c r="O47" i="8"/>
  <c r="J47" i="8"/>
  <c r="S46" i="8"/>
  <c r="R46" i="8"/>
  <c r="T46" i="8" s="1"/>
  <c r="O46" i="8"/>
  <c r="J46" i="8"/>
  <c r="V46" i="8" s="1"/>
  <c r="S45" i="8"/>
  <c r="R45" i="8"/>
  <c r="T45" i="8" s="1"/>
  <c r="V45" i="8" s="1"/>
  <c r="O45" i="8"/>
  <c r="J45" i="8"/>
  <c r="S44" i="8"/>
  <c r="R44" i="8"/>
  <c r="T44" i="8" s="1"/>
  <c r="O44" i="8"/>
  <c r="J44" i="8"/>
  <c r="V44" i="8" s="1"/>
  <c r="S43" i="8"/>
  <c r="R43" i="8"/>
  <c r="T43" i="8" s="1"/>
  <c r="V43" i="8" s="1"/>
  <c r="O43" i="8"/>
  <c r="J43" i="8"/>
  <c r="S42" i="8"/>
  <c r="R42" i="8"/>
  <c r="T42" i="8" s="1"/>
  <c r="N42" i="8"/>
  <c r="M42" i="8"/>
  <c r="O42" i="8" s="1"/>
  <c r="J42" i="8"/>
  <c r="T41" i="8"/>
  <c r="V41" i="8" s="1"/>
  <c r="S41" i="8"/>
  <c r="R41" i="8"/>
  <c r="O41" i="8"/>
  <c r="N41" i="8"/>
  <c r="M41" i="8"/>
  <c r="J41" i="8"/>
  <c r="S40" i="8"/>
  <c r="R40" i="8"/>
  <c r="T40" i="8" s="1"/>
  <c r="N40" i="8"/>
  <c r="O40" i="8" s="1"/>
  <c r="V40" i="8" s="1"/>
  <c r="M40" i="8"/>
  <c r="J40" i="8"/>
  <c r="S39" i="8"/>
  <c r="R39" i="8"/>
  <c r="T39" i="8" s="1"/>
  <c r="N39" i="8"/>
  <c r="M39" i="8"/>
  <c r="O39" i="8" s="1"/>
  <c r="J39" i="8"/>
  <c r="T38" i="8"/>
  <c r="S38" i="8"/>
  <c r="R38" i="8"/>
  <c r="O38" i="8"/>
  <c r="N38" i="8"/>
  <c r="M38" i="8"/>
  <c r="I38" i="8"/>
  <c r="H38" i="8"/>
  <c r="J38" i="8" s="1"/>
  <c r="V38" i="8" s="1"/>
  <c r="S37" i="8"/>
  <c r="R37" i="8"/>
  <c r="T37" i="8" s="1"/>
  <c r="N37" i="8"/>
  <c r="M37" i="8"/>
  <c r="O37" i="8" s="1"/>
  <c r="I37" i="8"/>
  <c r="H37" i="8"/>
  <c r="J37" i="8" s="1"/>
  <c r="V37" i="8" s="1"/>
  <c r="S36" i="8"/>
  <c r="R36" i="8"/>
  <c r="T36" i="8" s="1"/>
  <c r="N36" i="8"/>
  <c r="O36" i="8" s="1"/>
  <c r="M36" i="8"/>
  <c r="I36" i="8"/>
  <c r="H36" i="8"/>
  <c r="J36" i="8" s="1"/>
  <c r="D36" i="8"/>
  <c r="C36" i="8"/>
  <c r="E36" i="8" s="1"/>
  <c r="S35" i="8"/>
  <c r="R35" i="8"/>
  <c r="T35" i="8" s="1"/>
  <c r="O35" i="8"/>
  <c r="N35" i="8"/>
  <c r="M35" i="8"/>
  <c r="J35" i="8"/>
  <c r="I35" i="8"/>
  <c r="H35" i="8"/>
  <c r="D35" i="8"/>
  <c r="C35" i="8"/>
  <c r="E35" i="8" s="1"/>
  <c r="S34" i="8"/>
  <c r="R34" i="8"/>
  <c r="T34" i="8" s="1"/>
  <c r="N34" i="8"/>
  <c r="M34" i="8"/>
  <c r="O34" i="8" s="1"/>
  <c r="I34" i="8"/>
  <c r="H34" i="8"/>
  <c r="J34" i="8" s="1"/>
  <c r="D34" i="8"/>
  <c r="C34" i="8"/>
  <c r="E34" i="8" s="1"/>
  <c r="V34" i="8" s="1"/>
  <c r="S33" i="8"/>
  <c r="T33" i="8" s="1"/>
  <c r="R33" i="8"/>
  <c r="N33" i="8"/>
  <c r="M33" i="8"/>
  <c r="O33" i="8" s="1"/>
  <c r="I33" i="8"/>
  <c r="H33" i="8"/>
  <c r="J33" i="8" s="1"/>
  <c r="D33" i="8"/>
  <c r="C33" i="8"/>
  <c r="E33" i="8" s="1"/>
  <c r="T32" i="8"/>
  <c r="S32" i="8"/>
  <c r="R32" i="8"/>
  <c r="O32" i="8"/>
  <c r="N32" i="8"/>
  <c r="M32" i="8"/>
  <c r="I32" i="8"/>
  <c r="H32" i="8"/>
  <c r="J32" i="8" s="1"/>
  <c r="D32" i="8"/>
  <c r="C32" i="8"/>
  <c r="E32" i="8" s="1"/>
  <c r="V32" i="8" s="1"/>
  <c r="S31" i="8"/>
  <c r="R31" i="8"/>
  <c r="T31" i="8" s="1"/>
  <c r="N31" i="8"/>
  <c r="M31" i="8"/>
  <c r="O31" i="8" s="1"/>
  <c r="I31" i="8"/>
  <c r="H31" i="8"/>
  <c r="J31" i="8" s="1"/>
  <c r="D31" i="8"/>
  <c r="C31" i="8"/>
  <c r="E31" i="8" s="1"/>
  <c r="V31" i="8" s="1"/>
  <c r="S30" i="8"/>
  <c r="R30" i="8"/>
  <c r="T30" i="8" s="1"/>
  <c r="N30" i="8"/>
  <c r="M30" i="8"/>
  <c r="O30" i="8" s="1"/>
  <c r="I30" i="8"/>
  <c r="H30" i="8"/>
  <c r="J30" i="8" s="1"/>
  <c r="D30" i="8"/>
  <c r="E30" i="8" s="1"/>
  <c r="V30" i="8" s="1"/>
  <c r="C30" i="8"/>
  <c r="T29" i="8"/>
  <c r="S29" i="8"/>
  <c r="R29" i="8"/>
  <c r="N29" i="8"/>
  <c r="M29" i="8"/>
  <c r="O29" i="8" s="1"/>
  <c r="I29" i="8"/>
  <c r="H29" i="8"/>
  <c r="J29" i="8" s="1"/>
  <c r="E29" i="8"/>
  <c r="V29" i="8" s="1"/>
  <c r="D29" i="8"/>
  <c r="C29" i="8"/>
  <c r="S28" i="8"/>
  <c r="R28" i="8"/>
  <c r="T28" i="8" s="1"/>
  <c r="N28" i="8"/>
  <c r="M28" i="8"/>
  <c r="O28" i="8" s="1"/>
  <c r="I28" i="8"/>
  <c r="H28" i="8"/>
  <c r="J28" i="8" s="1"/>
  <c r="D28" i="8"/>
  <c r="C28" i="8"/>
  <c r="E28" i="8" s="1"/>
  <c r="S27" i="8"/>
  <c r="R27" i="8"/>
  <c r="T27" i="8" s="1"/>
  <c r="N27" i="8"/>
  <c r="M27" i="8"/>
  <c r="O27" i="8" s="1"/>
  <c r="I27" i="8"/>
  <c r="J27" i="8" s="1"/>
  <c r="H27" i="8"/>
  <c r="D27" i="8"/>
  <c r="C27" i="8"/>
  <c r="E27" i="8" s="1"/>
  <c r="V27" i="8" s="1"/>
  <c r="S26" i="8"/>
  <c r="R26" i="8"/>
  <c r="T26" i="8" s="1"/>
  <c r="N26" i="8"/>
  <c r="M26" i="8"/>
  <c r="O26" i="8" s="1"/>
  <c r="J26" i="8"/>
  <c r="I26" i="8"/>
  <c r="H26" i="8"/>
  <c r="E26" i="8"/>
  <c r="D26" i="8"/>
  <c r="C26" i="8"/>
  <c r="S25" i="8"/>
  <c r="R25" i="8"/>
  <c r="T25" i="8" s="1"/>
  <c r="N25" i="8"/>
  <c r="M25" i="8"/>
  <c r="O25" i="8" s="1"/>
  <c r="I25" i="8"/>
  <c r="H25" i="8"/>
  <c r="J25" i="8" s="1"/>
  <c r="D25" i="8"/>
  <c r="C25" i="8"/>
  <c r="E25" i="8" s="1"/>
  <c r="S24" i="8"/>
  <c r="R24" i="8"/>
  <c r="T24" i="8" s="1"/>
  <c r="N24" i="8"/>
  <c r="O24" i="8" s="1"/>
  <c r="M24" i="8"/>
  <c r="I24" i="8"/>
  <c r="H24" i="8"/>
  <c r="J24" i="8" s="1"/>
  <c r="D24" i="8"/>
  <c r="C24" i="8"/>
  <c r="E24" i="8" s="1"/>
  <c r="V24" i="8" s="1"/>
  <c r="S23" i="8"/>
  <c r="R23" i="8"/>
  <c r="T23" i="8" s="1"/>
  <c r="O23" i="8"/>
  <c r="N23" i="8"/>
  <c r="M23" i="8"/>
  <c r="J23" i="8"/>
  <c r="I23" i="8"/>
  <c r="H23" i="8"/>
  <c r="D23" i="8"/>
  <c r="C23" i="8"/>
  <c r="E23" i="8" s="1"/>
  <c r="V23" i="8" s="1"/>
  <c r="S22" i="8"/>
  <c r="R22" i="8"/>
  <c r="T22" i="8" s="1"/>
  <c r="N22" i="8"/>
  <c r="M22" i="8"/>
  <c r="O22" i="8" s="1"/>
  <c r="I22" i="8"/>
  <c r="H22" i="8"/>
  <c r="J22" i="8" s="1"/>
  <c r="D22" i="8"/>
  <c r="C22" i="8"/>
  <c r="E22" i="8" s="1"/>
  <c r="S21" i="8"/>
  <c r="T21" i="8" s="1"/>
  <c r="R21" i="8"/>
  <c r="N21" i="8"/>
  <c r="M21" i="8"/>
  <c r="O21" i="8" s="1"/>
  <c r="I21" i="8"/>
  <c r="H21" i="8"/>
  <c r="J21" i="8" s="1"/>
  <c r="D21" i="8"/>
  <c r="C21" i="8"/>
  <c r="E21" i="8" s="1"/>
  <c r="T20" i="8"/>
  <c r="S20" i="8"/>
  <c r="R20" i="8"/>
  <c r="O20" i="8"/>
  <c r="N20" i="8"/>
  <c r="M20" i="8"/>
  <c r="I20" i="8"/>
  <c r="H20" i="8"/>
  <c r="J20" i="8" s="1"/>
  <c r="D20" i="8"/>
  <c r="C20" i="8"/>
  <c r="E20" i="8" s="1"/>
  <c r="V20" i="8" s="1"/>
  <c r="S19" i="8"/>
  <c r="R19" i="8"/>
  <c r="T19" i="8" s="1"/>
  <c r="N19" i="8"/>
  <c r="M19" i="8"/>
  <c r="O19" i="8" s="1"/>
  <c r="I19" i="8"/>
  <c r="H19" i="8"/>
  <c r="J19" i="8" s="1"/>
  <c r="D19" i="8"/>
  <c r="C19" i="8"/>
  <c r="E19" i="8" s="1"/>
  <c r="V19" i="8" s="1"/>
  <c r="S18" i="8"/>
  <c r="R18" i="8"/>
  <c r="T18" i="8" s="1"/>
  <c r="N18" i="8"/>
  <c r="M18" i="8"/>
  <c r="O18" i="8" s="1"/>
  <c r="I18" i="8"/>
  <c r="H18" i="8"/>
  <c r="J18" i="8" s="1"/>
  <c r="D18" i="8"/>
  <c r="E18" i="8" s="1"/>
  <c r="C18" i="8"/>
  <c r="T17" i="8"/>
  <c r="S17" i="8"/>
  <c r="R17" i="8"/>
  <c r="N17" i="8"/>
  <c r="M17" i="8"/>
  <c r="O17" i="8" s="1"/>
  <c r="I17" i="8"/>
  <c r="H17" i="8"/>
  <c r="J17" i="8" s="1"/>
  <c r="E17" i="8"/>
  <c r="V17" i="8" s="1"/>
  <c r="D17" i="8"/>
  <c r="C17" i="8"/>
  <c r="S16" i="8"/>
  <c r="R16" i="8"/>
  <c r="T16" i="8" s="1"/>
  <c r="N16" i="8"/>
  <c r="M16" i="8"/>
  <c r="O16" i="8" s="1"/>
  <c r="I16" i="8"/>
  <c r="H16" i="8"/>
  <c r="H51" i="8" s="1"/>
  <c r="D16" i="8"/>
  <c r="C16" i="8"/>
  <c r="E16" i="8" s="1"/>
  <c r="S15" i="8"/>
  <c r="R15" i="8"/>
  <c r="T15" i="8" s="1"/>
  <c r="N15" i="8"/>
  <c r="M15" i="8"/>
  <c r="O15" i="8" s="1"/>
  <c r="I15" i="8"/>
  <c r="J15" i="8" s="1"/>
  <c r="H15" i="8"/>
  <c r="D15" i="8"/>
  <c r="C15" i="8"/>
  <c r="E15" i="8" s="1"/>
  <c r="S14" i="8"/>
  <c r="R14" i="8"/>
  <c r="T14" i="8" s="1"/>
  <c r="N14" i="8"/>
  <c r="M14" i="8"/>
  <c r="O14" i="8" s="1"/>
  <c r="J14" i="8"/>
  <c r="I14" i="8"/>
  <c r="H14" i="8"/>
  <c r="E14" i="8"/>
  <c r="D14" i="8"/>
  <c r="C14" i="8"/>
  <c r="S13" i="8"/>
  <c r="S51" i="8" s="1"/>
  <c r="N13" i="8"/>
  <c r="M13" i="8"/>
  <c r="O13" i="8" s="1"/>
  <c r="J13" i="8"/>
  <c r="I13" i="8"/>
  <c r="H13" i="8"/>
  <c r="E13" i="8"/>
  <c r="D13" i="8"/>
  <c r="C13" i="8"/>
  <c r="T12" i="8"/>
  <c r="N12" i="8"/>
  <c r="N51" i="8" s="1"/>
  <c r="M12" i="8"/>
  <c r="M51" i="8" s="1"/>
  <c r="I12" i="8"/>
  <c r="J12" i="8" s="1"/>
  <c r="H12" i="8"/>
  <c r="D12" i="8"/>
  <c r="C12" i="8"/>
  <c r="E12" i="8" s="1"/>
  <c r="T11" i="8"/>
  <c r="O11" i="8"/>
  <c r="I11" i="8"/>
  <c r="H11" i="8"/>
  <c r="J11" i="8" s="1"/>
  <c r="D11" i="8"/>
  <c r="E11" i="8" s="1"/>
  <c r="C11" i="8"/>
  <c r="T10" i="8"/>
  <c r="O10" i="8"/>
  <c r="I10" i="8"/>
  <c r="H10" i="8"/>
  <c r="J10" i="8" s="1"/>
  <c r="D10" i="8"/>
  <c r="C10" i="8"/>
  <c r="E10" i="8" s="1"/>
  <c r="V10" i="8" s="1"/>
  <c r="T9" i="8"/>
  <c r="O9" i="8"/>
  <c r="I9" i="8"/>
  <c r="H9" i="8"/>
  <c r="J9" i="8" s="1"/>
  <c r="D9" i="8"/>
  <c r="C9" i="8"/>
  <c r="E9" i="8" s="1"/>
  <c r="T8" i="8"/>
  <c r="O8" i="8"/>
  <c r="I8" i="8"/>
  <c r="J8" i="8" s="1"/>
  <c r="H8" i="8"/>
  <c r="D8" i="8"/>
  <c r="C8" i="8"/>
  <c r="E8" i="8" s="1"/>
  <c r="V8" i="8" s="1"/>
  <c r="T7" i="8"/>
  <c r="O7" i="8"/>
  <c r="J7" i="8"/>
  <c r="D7" i="8"/>
  <c r="C7" i="8"/>
  <c r="E7" i="8" s="1"/>
  <c r="V7" i="8" s="1"/>
  <c r="T6" i="8"/>
  <c r="O6" i="8"/>
  <c r="J6" i="8"/>
  <c r="D6" i="8"/>
  <c r="D51" i="8" s="1"/>
  <c r="C6" i="8"/>
  <c r="C51" i="8" s="1"/>
  <c r="C110" i="4"/>
  <c r="D110" i="4"/>
  <c r="E110" i="4"/>
  <c r="B110" i="4"/>
  <c r="B108" i="4"/>
  <c r="C106" i="4"/>
  <c r="C109" i="4" s="1"/>
  <c r="C105" i="4"/>
  <c r="C104" i="4"/>
  <c r="D102" i="4"/>
  <c r="D109" i="4" s="1"/>
  <c r="B101" i="4"/>
  <c r="F101" i="4" s="1"/>
  <c r="B99" i="4"/>
  <c r="B98" i="4"/>
  <c r="B96" i="4"/>
  <c r="B95" i="4"/>
  <c r="B94" i="4"/>
  <c r="B93" i="4"/>
  <c r="D181" i="4"/>
  <c r="F181" i="4" s="1"/>
  <c r="D180" i="4"/>
  <c r="F180" i="4" s="1"/>
  <c r="D81" i="4"/>
  <c r="D80" i="4"/>
  <c r="C74" i="4"/>
  <c r="F220" i="4"/>
  <c r="E220" i="4"/>
  <c r="D220" i="4"/>
  <c r="C220" i="4"/>
  <c r="B220" i="4"/>
  <c r="E216" i="4"/>
  <c r="D216" i="4"/>
  <c r="C216" i="4"/>
  <c r="B216" i="4"/>
  <c r="F215" i="4"/>
  <c r="F214" i="4"/>
  <c r="F216" i="4" s="1"/>
  <c r="F213" i="4"/>
  <c r="F212" i="4"/>
  <c r="E207" i="4"/>
  <c r="D207" i="4"/>
  <c r="C207" i="4"/>
  <c r="F206" i="4"/>
  <c r="F205" i="4"/>
  <c r="F204" i="4"/>
  <c r="F203" i="4"/>
  <c r="F202" i="4"/>
  <c r="F200" i="4"/>
  <c r="F198" i="4"/>
  <c r="E194" i="4"/>
  <c r="C194" i="4"/>
  <c r="F192" i="4"/>
  <c r="F191" i="4"/>
  <c r="F190" i="4"/>
  <c r="F189" i="4"/>
  <c r="F188" i="4"/>
  <c r="F187" i="4"/>
  <c r="F186" i="4"/>
  <c r="F185" i="4"/>
  <c r="F184" i="4"/>
  <c r="F182" i="4"/>
  <c r="F179" i="4"/>
  <c r="F178" i="4"/>
  <c r="F176" i="4"/>
  <c r="F175" i="4"/>
  <c r="F174" i="4"/>
  <c r="E171" i="4"/>
  <c r="D171" i="4"/>
  <c r="C171" i="4"/>
  <c r="F169" i="4"/>
  <c r="F165" i="4"/>
  <c r="F164" i="4"/>
  <c r="F163" i="4"/>
  <c r="F162" i="4"/>
  <c r="F158" i="4"/>
  <c r="F155" i="4"/>
  <c r="E149" i="4"/>
  <c r="D149" i="4"/>
  <c r="C149" i="4"/>
  <c r="F148" i="4"/>
  <c r="F147" i="4"/>
  <c r="F146" i="4"/>
  <c r="F145" i="4"/>
  <c r="F144" i="4"/>
  <c r="E141" i="4"/>
  <c r="D141" i="4"/>
  <c r="C141" i="4"/>
  <c r="B141" i="4"/>
  <c r="F138" i="4"/>
  <c r="F137" i="4"/>
  <c r="F136" i="4"/>
  <c r="F131" i="4"/>
  <c r="F130" i="4"/>
  <c r="E128" i="4"/>
  <c r="D128" i="4"/>
  <c r="C128" i="4"/>
  <c r="D125" i="4"/>
  <c r="F124" i="4"/>
  <c r="E123" i="4"/>
  <c r="E125" i="4" s="1"/>
  <c r="F120" i="4"/>
  <c r="F115" i="4"/>
  <c r="F114" i="4"/>
  <c r="D113" i="4"/>
  <c r="C113" i="4"/>
  <c r="E112" i="4"/>
  <c r="D112" i="4"/>
  <c r="C112" i="4"/>
  <c r="F112" i="4" s="1"/>
  <c r="B112" i="4"/>
  <c r="E109" i="4"/>
  <c r="F108" i="4"/>
  <c r="F107" i="4"/>
  <c r="F106" i="4"/>
  <c r="F105" i="4"/>
  <c r="F104" i="4"/>
  <c r="F103" i="4"/>
  <c r="F102" i="4"/>
  <c r="F100" i="4"/>
  <c r="F99" i="4"/>
  <c r="F98" i="4"/>
  <c r="F97" i="4"/>
  <c r="F96" i="4"/>
  <c r="F95" i="4"/>
  <c r="F94" i="4"/>
  <c r="F88" i="4"/>
  <c r="E88" i="4"/>
  <c r="D88" i="4"/>
  <c r="C88" i="4"/>
  <c r="B88" i="4"/>
  <c r="E82" i="4"/>
  <c r="D82" i="4"/>
  <c r="F80" i="4"/>
  <c r="F79" i="4"/>
  <c r="F78" i="4"/>
  <c r="F77" i="4"/>
  <c r="F76" i="4"/>
  <c r="F75" i="4"/>
  <c r="C82" i="4"/>
  <c r="F73" i="4"/>
  <c r="F72" i="4"/>
  <c r="F71" i="4"/>
  <c r="B71" i="4"/>
  <c r="F70" i="4"/>
  <c r="B70" i="4"/>
  <c r="F69" i="4"/>
  <c r="B68" i="4"/>
  <c r="F68" i="4" s="1"/>
  <c r="F67" i="4"/>
  <c r="F84" i="4" s="1"/>
  <c r="F91" i="4" s="1"/>
  <c r="F118" i="4" s="1"/>
  <c r="F134" i="4" s="1"/>
  <c r="E67" i="4"/>
  <c r="E84" i="4" s="1"/>
  <c r="E91" i="4" s="1"/>
  <c r="E118" i="4" s="1"/>
  <c r="E134" i="4" s="1"/>
  <c r="D65" i="4"/>
  <c r="D64" i="4"/>
  <c r="C64" i="4"/>
  <c r="E63" i="4"/>
  <c r="D63" i="4"/>
  <c r="D127" i="4" s="1"/>
  <c r="C63" i="4"/>
  <c r="C65" i="4" s="1"/>
  <c r="B63" i="4"/>
  <c r="E61" i="4"/>
  <c r="E64" i="4" s="1"/>
  <c r="D61" i="4"/>
  <c r="C61" i="4"/>
  <c r="B61" i="4"/>
  <c r="B64" i="4" s="1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E38" i="4"/>
  <c r="E36" i="4"/>
  <c r="E154" i="4" s="1"/>
  <c r="E159" i="4" s="1"/>
  <c r="D36" i="4"/>
  <c r="D154" i="4" s="1"/>
  <c r="D159" i="4" s="1"/>
  <c r="C36" i="4"/>
  <c r="B36" i="4"/>
  <c r="B128" i="4" s="1"/>
  <c r="F128" i="4" s="1"/>
  <c r="F35" i="4"/>
  <c r="F34" i="4"/>
  <c r="F33" i="4"/>
  <c r="F32" i="4"/>
  <c r="F31" i="4"/>
  <c r="F30" i="4"/>
  <c r="F29" i="4"/>
  <c r="F28" i="4"/>
  <c r="F27" i="4"/>
  <c r="F36" i="4" s="1"/>
  <c r="F26" i="4"/>
  <c r="E26" i="4"/>
  <c r="F25" i="4"/>
  <c r="F24" i="4"/>
  <c r="F23" i="4"/>
  <c r="F22" i="4"/>
  <c r="F21" i="4"/>
  <c r="C17" i="4"/>
  <c r="B17" i="4"/>
  <c r="B3" i="4"/>
  <c r="N193" i="3"/>
  <c r="H193" i="3"/>
  <c r="B193" i="3"/>
  <c r="R65" i="15" l="1"/>
  <c r="N164" i="15"/>
  <c r="R164" i="15" s="1"/>
  <c r="N138" i="15"/>
  <c r="R138" i="15" s="1"/>
  <c r="N178" i="15"/>
  <c r="R178" i="15" s="1"/>
  <c r="O153" i="15"/>
  <c r="N148" i="15"/>
  <c r="R148" i="15" s="1"/>
  <c r="N146" i="15"/>
  <c r="R146" i="15" s="1"/>
  <c r="N168" i="15"/>
  <c r="R168" i="15" s="1"/>
  <c r="N145" i="15"/>
  <c r="R145" i="15" s="1"/>
  <c r="N144" i="15"/>
  <c r="R144" i="15" s="1"/>
  <c r="R149" i="15" s="1"/>
  <c r="N139" i="15"/>
  <c r="R139" i="15" s="1"/>
  <c r="O111" i="15"/>
  <c r="N68" i="15"/>
  <c r="N193" i="15" s="1"/>
  <c r="I127" i="15"/>
  <c r="I111" i="15"/>
  <c r="I116" i="15" s="1"/>
  <c r="F194" i="15"/>
  <c r="E132" i="15"/>
  <c r="K129" i="15"/>
  <c r="K132" i="15" s="1"/>
  <c r="K209" i="15" s="1"/>
  <c r="K218" i="15" s="1"/>
  <c r="L110" i="15"/>
  <c r="L128" i="15"/>
  <c r="C126" i="15"/>
  <c r="F126" i="15" s="1"/>
  <c r="F128" i="15"/>
  <c r="L82" i="15"/>
  <c r="H65" i="15"/>
  <c r="H111" i="15" s="1"/>
  <c r="AR111" i="15" s="1"/>
  <c r="AR116" i="15" s="1"/>
  <c r="H129" i="15"/>
  <c r="AR129" i="15" s="1"/>
  <c r="E127" i="15"/>
  <c r="R154" i="15"/>
  <c r="J132" i="15"/>
  <c r="J209" i="15" s="1"/>
  <c r="J218" i="15" s="1"/>
  <c r="R125" i="15"/>
  <c r="O116" i="15"/>
  <c r="R141" i="15"/>
  <c r="N82" i="15"/>
  <c r="N170" i="15"/>
  <c r="R170" i="15" s="1"/>
  <c r="R193" i="15"/>
  <c r="N157" i="15"/>
  <c r="R157" i="15" s="1"/>
  <c r="R68" i="15"/>
  <c r="R82" i="15" s="1"/>
  <c r="N156" i="15"/>
  <c r="N125" i="15"/>
  <c r="O159" i="15"/>
  <c r="O209" i="15" s="1"/>
  <c r="O218" i="15" s="1"/>
  <c r="R153" i="15"/>
  <c r="Q116" i="15"/>
  <c r="Q209" i="15" s="1"/>
  <c r="Q218" i="15" s="1"/>
  <c r="R111" i="15"/>
  <c r="R110" i="15"/>
  <c r="L194" i="15"/>
  <c r="L125" i="15"/>
  <c r="L154" i="15"/>
  <c r="L159" i="15" s="1"/>
  <c r="L144" i="15"/>
  <c r="L149" i="15" s="1"/>
  <c r="H149" i="15"/>
  <c r="L126" i="15"/>
  <c r="H194" i="15"/>
  <c r="I132" i="15"/>
  <c r="H159" i="15"/>
  <c r="B111" i="15"/>
  <c r="B116" i="15"/>
  <c r="F171" i="15"/>
  <c r="F159" i="15"/>
  <c r="B159" i="15"/>
  <c r="F125" i="15"/>
  <c r="F144" i="15"/>
  <c r="F149" i="15" s="1"/>
  <c r="B149" i="15"/>
  <c r="B132" i="15"/>
  <c r="F138" i="15"/>
  <c r="F141" i="15" s="1"/>
  <c r="B141" i="15"/>
  <c r="F110" i="15"/>
  <c r="B194" i="15"/>
  <c r="E111" i="15"/>
  <c r="E116" i="15" s="1"/>
  <c r="E209" i="15" s="1"/>
  <c r="E218" i="15" s="1"/>
  <c r="F109" i="15"/>
  <c r="C65" i="15"/>
  <c r="C111" i="15" s="1"/>
  <c r="C116" i="15" s="1"/>
  <c r="C129" i="15"/>
  <c r="D65" i="15"/>
  <c r="D129" i="15"/>
  <c r="B171" i="15"/>
  <c r="AU209" i="10"/>
  <c r="AU218" i="10" s="1"/>
  <c r="AV88" i="10"/>
  <c r="AV218" i="10" s="1"/>
  <c r="AT209" i="10"/>
  <c r="AT218" i="10" s="1"/>
  <c r="AS65" i="10"/>
  <c r="AS209" i="10"/>
  <c r="AS218" i="10" s="1"/>
  <c r="AV209" i="10"/>
  <c r="AV61" i="10"/>
  <c r="AV64" i="10" s="1"/>
  <c r="AV65" i="10" s="1"/>
  <c r="AR209" i="10"/>
  <c r="AR218" i="10" s="1"/>
  <c r="Z127" i="10"/>
  <c r="Z111" i="10"/>
  <c r="Z132" i="10"/>
  <c r="AD135" i="10"/>
  <c r="AD141" i="10" s="1"/>
  <c r="Z141" i="10"/>
  <c r="AD144" i="10"/>
  <c r="AD149" i="10" s="1"/>
  <c r="Z149" i="10"/>
  <c r="Z170" i="10"/>
  <c r="AD170" i="10" s="1"/>
  <c r="Z82" i="10"/>
  <c r="Z193" i="10"/>
  <c r="AD193" i="10" s="1"/>
  <c r="AD194" i="10" s="1"/>
  <c r="Z157" i="10"/>
  <c r="AD157" i="10" s="1"/>
  <c r="Z156" i="10"/>
  <c r="AD68" i="10"/>
  <c r="AD82" i="10" s="1"/>
  <c r="AB65" i="10"/>
  <c r="AB129" i="10"/>
  <c r="AD113" i="10"/>
  <c r="AA65" i="10"/>
  <c r="AA129" i="10"/>
  <c r="AD129" i="10" s="1"/>
  <c r="AD164" i="10"/>
  <c r="AD110" i="10"/>
  <c r="AA159" i="10"/>
  <c r="AD153" i="10"/>
  <c r="P129" i="10"/>
  <c r="P65" i="10"/>
  <c r="P111" i="10" s="1"/>
  <c r="P127" i="10"/>
  <c r="P132" i="10" s="1"/>
  <c r="P209" i="10" s="1"/>
  <c r="P218" i="10" s="1"/>
  <c r="N168" i="10"/>
  <c r="R168" i="10" s="1"/>
  <c r="N144" i="10"/>
  <c r="R144" i="10" s="1"/>
  <c r="R149" i="10" s="1"/>
  <c r="O153" i="10"/>
  <c r="R153" i="10" s="1"/>
  <c r="N148" i="10"/>
  <c r="R148" i="10" s="1"/>
  <c r="N146" i="10"/>
  <c r="R146" i="10" s="1"/>
  <c r="N145" i="10"/>
  <c r="R145" i="10" s="1"/>
  <c r="N139" i="10"/>
  <c r="R139" i="10" s="1"/>
  <c r="N178" i="10"/>
  <c r="R178" i="10" s="1"/>
  <c r="N138" i="10"/>
  <c r="R138" i="10" s="1"/>
  <c r="N164" i="10"/>
  <c r="L82" i="10"/>
  <c r="H127" i="10"/>
  <c r="H132" i="10" s="1"/>
  <c r="F154" i="10"/>
  <c r="L154" i="10"/>
  <c r="L159" i="10" s="1"/>
  <c r="N68" i="10"/>
  <c r="N157" i="10" s="1"/>
  <c r="R157" i="10" s="1"/>
  <c r="Q127" i="10"/>
  <c r="Q132" i="10" s="1"/>
  <c r="Q111" i="10"/>
  <c r="Q116" i="10" s="1"/>
  <c r="Q209" i="10" s="1"/>
  <c r="Q218" i="10" s="1"/>
  <c r="F65" i="10"/>
  <c r="C111" i="10"/>
  <c r="H170" i="10"/>
  <c r="H157" i="10"/>
  <c r="L157" i="10" s="1"/>
  <c r="I127" i="10"/>
  <c r="I132" i="10" s="1"/>
  <c r="E111" i="10"/>
  <c r="E116" i="10" s="1"/>
  <c r="E209" i="10" s="1"/>
  <c r="E218" i="10" s="1"/>
  <c r="O129" i="10"/>
  <c r="O65" i="10"/>
  <c r="O111" i="10" s="1"/>
  <c r="O116" i="10" s="1"/>
  <c r="O127" i="10"/>
  <c r="O132" i="10" s="1"/>
  <c r="F129" i="10"/>
  <c r="F109" i="10"/>
  <c r="H194" i="10"/>
  <c r="L128" i="10"/>
  <c r="R109" i="10"/>
  <c r="N129" i="10"/>
  <c r="N65" i="10"/>
  <c r="P116" i="10"/>
  <c r="O159" i="10"/>
  <c r="R164" i="10"/>
  <c r="R110" i="10"/>
  <c r="R121" i="10"/>
  <c r="R125" i="10" s="1"/>
  <c r="N125" i="10"/>
  <c r="N126" i="10" s="1"/>
  <c r="R141" i="10"/>
  <c r="N141" i="10"/>
  <c r="H116" i="10"/>
  <c r="I65" i="10"/>
  <c r="I129" i="10"/>
  <c r="L110" i="10"/>
  <c r="J65" i="10"/>
  <c r="J129" i="10"/>
  <c r="J132" i="10" s="1"/>
  <c r="L144" i="10"/>
  <c r="L149" i="10" s="1"/>
  <c r="H149" i="10"/>
  <c r="L126" i="10"/>
  <c r="L125" i="10"/>
  <c r="L109" i="10"/>
  <c r="K209" i="10"/>
  <c r="K218" i="10" s="1"/>
  <c r="L138" i="10"/>
  <c r="L141" i="10" s="1"/>
  <c r="H141" i="10"/>
  <c r="B127" i="10"/>
  <c r="F141" i="10"/>
  <c r="AR123" i="4"/>
  <c r="AV123" i="4" s="1"/>
  <c r="AV125" i="4" s="1"/>
  <c r="L63" i="4"/>
  <c r="L65" i="4" s="1"/>
  <c r="F123" i="4"/>
  <c r="F61" i="4"/>
  <c r="F64" i="4" s="1"/>
  <c r="B65" i="4"/>
  <c r="B111" i="4" s="1"/>
  <c r="F63" i="4"/>
  <c r="AV63" i="4"/>
  <c r="AV65" i="4" s="1"/>
  <c r="L123" i="4"/>
  <c r="AR65" i="4"/>
  <c r="R129" i="4"/>
  <c r="Z178" i="4"/>
  <c r="AD178" i="4" s="1"/>
  <c r="Z148" i="4"/>
  <c r="Z135" i="4"/>
  <c r="Z144" i="4"/>
  <c r="Z145" i="4"/>
  <c r="Z146" i="4"/>
  <c r="Z164" i="4"/>
  <c r="AA153" i="4"/>
  <c r="Z138" i="4"/>
  <c r="Z139" i="4"/>
  <c r="AD139" i="4" s="1"/>
  <c r="B116" i="10"/>
  <c r="B141" i="10"/>
  <c r="F113" i="10"/>
  <c r="F126" i="10"/>
  <c r="B132" i="10"/>
  <c r="F68" i="10"/>
  <c r="F82" i="10" s="1"/>
  <c r="B156" i="10"/>
  <c r="B170" i="10"/>
  <c r="F170" i="10" s="1"/>
  <c r="F171" i="10" s="1"/>
  <c r="B157" i="10"/>
  <c r="F157" i="10" s="1"/>
  <c r="B82" i="10"/>
  <c r="B193" i="10"/>
  <c r="F193" i="10" s="1"/>
  <c r="D218" i="10"/>
  <c r="F144" i="10"/>
  <c r="F149" i="10" s="1"/>
  <c r="B149" i="10"/>
  <c r="C132" i="10"/>
  <c r="C116" i="10"/>
  <c r="F153" i="10"/>
  <c r="C159" i="10"/>
  <c r="F127" i="10"/>
  <c r="F178" i="10"/>
  <c r="N193" i="9"/>
  <c r="AR193" i="9" s="1"/>
  <c r="AV193" i="9" s="1"/>
  <c r="R145" i="9"/>
  <c r="R139" i="9"/>
  <c r="R146" i="9"/>
  <c r="R138" i="9"/>
  <c r="R141" i="9" s="1"/>
  <c r="R148" i="9"/>
  <c r="R168" i="9"/>
  <c r="Z111" i="9"/>
  <c r="AR111" i="9" s="1"/>
  <c r="AV111" i="9" s="1"/>
  <c r="Z110" i="9"/>
  <c r="AS65" i="9"/>
  <c r="AT209" i="9"/>
  <c r="AT218" i="9" s="1"/>
  <c r="AV65" i="9"/>
  <c r="AR65" i="9"/>
  <c r="AU218" i="9"/>
  <c r="AV207" i="9"/>
  <c r="AB116" i="9"/>
  <c r="AA132" i="9"/>
  <c r="AC209" i="9"/>
  <c r="AC218" i="9" s="1"/>
  <c r="AD125" i="9"/>
  <c r="AD126" i="9"/>
  <c r="Z65" i="9"/>
  <c r="AD127" i="9"/>
  <c r="Z129" i="9"/>
  <c r="AD129" i="9" s="1"/>
  <c r="AD113" i="9"/>
  <c r="AD154" i="9"/>
  <c r="Z156" i="9"/>
  <c r="Z170" i="9"/>
  <c r="AD170" i="9" s="1"/>
  <c r="Z157" i="9"/>
  <c r="AD157" i="9" s="1"/>
  <c r="Z193" i="9"/>
  <c r="AD193" i="9" s="1"/>
  <c r="AD194" i="9" s="1"/>
  <c r="AD68" i="9"/>
  <c r="AD82" i="9" s="1"/>
  <c r="Z82" i="9"/>
  <c r="AD135" i="9"/>
  <c r="AD141" i="9" s="1"/>
  <c r="Z141" i="9"/>
  <c r="AA159" i="9"/>
  <c r="AD153" i="9"/>
  <c r="AD164" i="9"/>
  <c r="AB132" i="9"/>
  <c r="AB209" i="9" s="1"/>
  <c r="AB218" i="9" s="1"/>
  <c r="AD144" i="9"/>
  <c r="AD149" i="9" s="1"/>
  <c r="Z149" i="9"/>
  <c r="N129" i="9"/>
  <c r="N65" i="9"/>
  <c r="N111" i="9" s="1"/>
  <c r="L65" i="9"/>
  <c r="F68" i="9"/>
  <c r="F82" i="9" s="1"/>
  <c r="F193" i="9"/>
  <c r="F194" i="9" s="1"/>
  <c r="B157" i="9"/>
  <c r="F157" i="9" s="1"/>
  <c r="F153" i="9"/>
  <c r="H159" i="9"/>
  <c r="B156" i="9"/>
  <c r="F156" i="9" s="1"/>
  <c r="K127" i="9"/>
  <c r="J116" i="9"/>
  <c r="J209" i="9" s="1"/>
  <c r="J218" i="9" s="1"/>
  <c r="R113" i="9"/>
  <c r="O111" i="9"/>
  <c r="O116" i="9" s="1"/>
  <c r="L194" i="9"/>
  <c r="P116" i="9"/>
  <c r="P209" i="9" s="1"/>
  <c r="P218" i="9" s="1"/>
  <c r="N116" i="9"/>
  <c r="B170" i="9"/>
  <c r="F170" i="9" s="1"/>
  <c r="F171" i="9" s="1"/>
  <c r="L82" i="9"/>
  <c r="F128" i="9"/>
  <c r="L113" i="9"/>
  <c r="R153" i="9"/>
  <c r="O159" i="9"/>
  <c r="O209" i="9" s="1"/>
  <c r="O218" i="9" s="1"/>
  <c r="Q65" i="9"/>
  <c r="Q129" i="9"/>
  <c r="R129" i="9" s="1"/>
  <c r="N149" i="9"/>
  <c r="R144" i="9"/>
  <c r="N141" i="9"/>
  <c r="N125" i="9"/>
  <c r="N126" i="9" s="1"/>
  <c r="N157" i="9"/>
  <c r="N170" i="9"/>
  <c r="R68" i="9"/>
  <c r="R82" i="9" s="1"/>
  <c r="N156" i="9"/>
  <c r="N82" i="9"/>
  <c r="R154" i="9"/>
  <c r="H65" i="9"/>
  <c r="H111" i="9" s="1"/>
  <c r="H129" i="9"/>
  <c r="L138" i="9"/>
  <c r="L141" i="9" s="1"/>
  <c r="H141" i="9"/>
  <c r="L126" i="9"/>
  <c r="L128" i="9"/>
  <c r="L168" i="9"/>
  <c r="L171" i="9" s="1"/>
  <c r="H171" i="9"/>
  <c r="L144" i="9"/>
  <c r="L149" i="9" s="1"/>
  <c r="H149" i="9"/>
  <c r="I65" i="9"/>
  <c r="I129" i="9"/>
  <c r="L109" i="9"/>
  <c r="L125" i="9"/>
  <c r="H194" i="9"/>
  <c r="L110" i="9"/>
  <c r="K65" i="9"/>
  <c r="K111" i="9" s="1"/>
  <c r="K116" i="9" s="1"/>
  <c r="K129" i="9"/>
  <c r="K132" i="9" s="1"/>
  <c r="K209" i="9" s="1"/>
  <c r="K218" i="9" s="1"/>
  <c r="L159" i="9"/>
  <c r="F125" i="9"/>
  <c r="F109" i="9"/>
  <c r="E209" i="9"/>
  <c r="E218" i="9" s="1"/>
  <c r="F154" i="9"/>
  <c r="F144" i="9"/>
  <c r="F149" i="9" s="1"/>
  <c r="B149" i="9"/>
  <c r="F138" i="9"/>
  <c r="F141" i="9" s="1"/>
  <c r="B141" i="9"/>
  <c r="F110" i="9"/>
  <c r="D65" i="9"/>
  <c r="D127" i="9"/>
  <c r="D129" i="9"/>
  <c r="C65" i="9"/>
  <c r="C129" i="9"/>
  <c r="F129" i="9" s="1"/>
  <c r="F159" i="9"/>
  <c r="B132" i="9"/>
  <c r="AV109" i="4"/>
  <c r="R112" i="4"/>
  <c r="AR112" i="4"/>
  <c r="AV112" i="4" s="1"/>
  <c r="Z128" i="4"/>
  <c r="AD128" i="4" s="1"/>
  <c r="Z154" i="4"/>
  <c r="AD154" i="4" s="1"/>
  <c r="AD206" i="4"/>
  <c r="AD207" i="4" s="1"/>
  <c r="AD148" i="4"/>
  <c r="AB82" i="4"/>
  <c r="AD123" i="4"/>
  <c r="AD61" i="4"/>
  <c r="AD64" i="4" s="1"/>
  <c r="AD36" i="4"/>
  <c r="AD63" i="4" s="1"/>
  <c r="AD65" i="4" s="1"/>
  <c r="Z63" i="4"/>
  <c r="AA125" i="4"/>
  <c r="AA126" i="4" s="1"/>
  <c r="Z68" i="4"/>
  <c r="Z156" i="4" s="1"/>
  <c r="AA113" i="4"/>
  <c r="AA65" i="4"/>
  <c r="AA116" i="4"/>
  <c r="AD151" i="4"/>
  <c r="AD161" i="4" s="1"/>
  <c r="AD173" i="4" s="1"/>
  <c r="AD196" i="4" s="1"/>
  <c r="AD143" i="4"/>
  <c r="AC143" i="4"/>
  <c r="AC151" i="4"/>
  <c r="AC161" i="4" s="1"/>
  <c r="AC173" i="4" s="1"/>
  <c r="AC196" i="4" s="1"/>
  <c r="AB113" i="4"/>
  <c r="AB129" i="4"/>
  <c r="AB65" i="4"/>
  <c r="AB132" i="4" s="1"/>
  <c r="AC113" i="4"/>
  <c r="AD174" i="4"/>
  <c r="AD181" i="4"/>
  <c r="Z71" i="4"/>
  <c r="AD71" i="4" s="1"/>
  <c r="AD80" i="4"/>
  <c r="AD99" i="4"/>
  <c r="AD109" i="4" s="1"/>
  <c r="AC116" i="4"/>
  <c r="AC209" i="4" s="1"/>
  <c r="AC218" i="4" s="1"/>
  <c r="AD145" i="4"/>
  <c r="AD69" i="4"/>
  <c r="AD140" i="4"/>
  <c r="AD146" i="4"/>
  <c r="AD168" i="4"/>
  <c r="R61" i="4"/>
  <c r="R64" i="4" s="1"/>
  <c r="R36" i="4"/>
  <c r="R63" i="4" s="1"/>
  <c r="N121" i="4"/>
  <c r="N125" i="4" s="1"/>
  <c r="N207" i="4"/>
  <c r="R123" i="4"/>
  <c r="R140" i="4"/>
  <c r="O109" i="4"/>
  <c r="P116" i="4"/>
  <c r="N109" i="4"/>
  <c r="AR110" i="4" s="1"/>
  <c r="R154" i="4"/>
  <c r="N113" i="4"/>
  <c r="N65" i="4"/>
  <c r="Q151" i="4"/>
  <c r="Q161" i="4" s="1"/>
  <c r="Q173" i="4" s="1"/>
  <c r="Q196" i="4" s="1"/>
  <c r="Q143" i="4"/>
  <c r="O132" i="4"/>
  <c r="R151" i="4"/>
  <c r="R161" i="4" s="1"/>
  <c r="R173" i="4" s="1"/>
  <c r="R196" i="4" s="1"/>
  <c r="R143" i="4"/>
  <c r="P132" i="4"/>
  <c r="Q65" i="4"/>
  <c r="Q127" i="4" s="1"/>
  <c r="Q132" i="4" s="1"/>
  <c r="Q113" i="4"/>
  <c r="R119" i="4"/>
  <c r="R177" i="4"/>
  <c r="R197" i="4"/>
  <c r="R207" i="4" s="1"/>
  <c r="R102" i="4"/>
  <c r="O82" i="4"/>
  <c r="N128" i="4"/>
  <c r="P82" i="4"/>
  <c r="R180" i="4"/>
  <c r="O116" i="4"/>
  <c r="R124" i="4"/>
  <c r="R135" i="4"/>
  <c r="N17" i="4"/>
  <c r="R163" i="4"/>
  <c r="R95" i="4"/>
  <c r="R109" i="4" s="1"/>
  <c r="L149" i="4"/>
  <c r="L135" i="4"/>
  <c r="L141" i="4" s="1"/>
  <c r="I125" i="4"/>
  <c r="L102" i="4"/>
  <c r="L80" i="4"/>
  <c r="L82" i="4" s="1"/>
  <c r="K151" i="4"/>
  <c r="K161" i="4" s="1"/>
  <c r="K173" i="4" s="1"/>
  <c r="K196" i="4" s="1"/>
  <c r="K143" i="4"/>
  <c r="L151" i="4"/>
  <c r="L161" i="4" s="1"/>
  <c r="L173" i="4" s="1"/>
  <c r="L196" i="4" s="1"/>
  <c r="L143" i="4"/>
  <c r="L109" i="4"/>
  <c r="L171" i="4"/>
  <c r="K113" i="4"/>
  <c r="L113" i="4" s="1"/>
  <c r="K65" i="4"/>
  <c r="K127" i="4" s="1"/>
  <c r="K132" i="4" s="1"/>
  <c r="L207" i="4"/>
  <c r="J116" i="4"/>
  <c r="H129" i="4"/>
  <c r="H65" i="4"/>
  <c r="I141" i="4"/>
  <c r="L119" i="4"/>
  <c r="I132" i="4"/>
  <c r="K129" i="4"/>
  <c r="L154" i="4"/>
  <c r="L159" i="4" s="1"/>
  <c r="H109" i="4"/>
  <c r="H149" i="4"/>
  <c r="I159" i="4"/>
  <c r="J129" i="4"/>
  <c r="I109" i="4"/>
  <c r="I129" i="4"/>
  <c r="L193" i="4"/>
  <c r="L194" i="4" s="1"/>
  <c r="L121" i="4"/>
  <c r="I82" i="4"/>
  <c r="H171" i="4"/>
  <c r="H128" i="4"/>
  <c r="L128" i="4" s="1"/>
  <c r="B207" i="4"/>
  <c r="F149" i="4"/>
  <c r="V26" i="8"/>
  <c r="T53" i="8"/>
  <c r="V15" i="8"/>
  <c r="V22" i="8"/>
  <c r="V33" i="8"/>
  <c r="V39" i="8"/>
  <c r="J51" i="8"/>
  <c r="V25" i="8"/>
  <c r="V36" i="8"/>
  <c r="V18" i="8"/>
  <c r="V9" i="8"/>
  <c r="V14" i="8"/>
  <c r="V21" i="8"/>
  <c r="V28" i="8"/>
  <c r="V35" i="8"/>
  <c r="V11" i="8"/>
  <c r="V42" i="8"/>
  <c r="T13" i="8"/>
  <c r="T51" i="8" s="1"/>
  <c r="J16" i="8"/>
  <c r="J53" i="8" s="1"/>
  <c r="R51" i="8"/>
  <c r="I51" i="8"/>
  <c r="O12" i="8"/>
  <c r="O53" i="8" s="1"/>
  <c r="E6" i="8"/>
  <c r="D116" i="4"/>
  <c r="B109" i="4"/>
  <c r="B156" i="4"/>
  <c r="F156" i="4" s="1"/>
  <c r="B82" i="4"/>
  <c r="B170" i="4"/>
  <c r="F170" i="4" s="1"/>
  <c r="B157" i="4"/>
  <c r="F157" i="4" s="1"/>
  <c r="F171" i="4"/>
  <c r="D132" i="4"/>
  <c r="E151" i="4"/>
  <c r="E161" i="4" s="1"/>
  <c r="E173" i="4" s="1"/>
  <c r="E196" i="4" s="1"/>
  <c r="E143" i="4"/>
  <c r="C116" i="4"/>
  <c r="F151" i="4"/>
  <c r="F161" i="4" s="1"/>
  <c r="F173" i="4" s="1"/>
  <c r="F196" i="4" s="1"/>
  <c r="F143" i="4"/>
  <c r="F110" i="4"/>
  <c r="E113" i="4"/>
  <c r="E65" i="4"/>
  <c r="E127" i="4" s="1"/>
  <c r="E132" i="4" s="1"/>
  <c r="F197" i="4"/>
  <c r="F207" i="4" s="1"/>
  <c r="F139" i="4"/>
  <c r="F93" i="4"/>
  <c r="F109" i="4" s="1"/>
  <c r="C129" i="4"/>
  <c r="F193" i="4"/>
  <c r="F194" i="4" s="1"/>
  <c r="D129" i="4"/>
  <c r="F119" i="4"/>
  <c r="E129" i="4"/>
  <c r="F154" i="4"/>
  <c r="F159" i="4" s="1"/>
  <c r="C159" i="4"/>
  <c r="C125" i="4"/>
  <c r="D194" i="4"/>
  <c r="F81" i="4"/>
  <c r="B171" i="4"/>
  <c r="F74" i="4"/>
  <c r="F82" i="4" s="1"/>
  <c r="B113" i="4"/>
  <c r="B129" i="4"/>
  <c r="F121" i="4"/>
  <c r="F140" i="4"/>
  <c r="L111" i="15" l="1"/>
  <c r="H116" i="15"/>
  <c r="H127" i="15"/>
  <c r="D111" i="15"/>
  <c r="D116" i="15" s="1"/>
  <c r="N149" i="15"/>
  <c r="N126" i="15"/>
  <c r="N127" i="15"/>
  <c r="L116" i="15"/>
  <c r="C127" i="15"/>
  <c r="F127" i="15" s="1"/>
  <c r="I209" i="15"/>
  <c r="I218" i="15" s="1"/>
  <c r="R194" i="15"/>
  <c r="L129" i="15"/>
  <c r="N141" i="15"/>
  <c r="N116" i="15"/>
  <c r="R171" i="15"/>
  <c r="N194" i="15"/>
  <c r="R156" i="15"/>
  <c r="N159" i="15"/>
  <c r="N171" i="15"/>
  <c r="R116" i="15"/>
  <c r="R127" i="15"/>
  <c r="R159" i="15"/>
  <c r="H132" i="15"/>
  <c r="H209" i="15" s="1"/>
  <c r="H218" i="15" s="1"/>
  <c r="C132" i="15"/>
  <c r="C209" i="15" s="1"/>
  <c r="C218" i="15" s="1"/>
  <c r="B209" i="15"/>
  <c r="B218" i="15" s="1"/>
  <c r="D132" i="15"/>
  <c r="F129" i="15"/>
  <c r="AB111" i="10"/>
  <c r="AD111" i="10" s="1"/>
  <c r="AD116" i="10" s="1"/>
  <c r="AA132" i="10"/>
  <c r="AA209" i="10" s="1"/>
  <c r="AA218" i="10" s="1"/>
  <c r="Z222" i="10"/>
  <c r="Z194" i="10"/>
  <c r="Z116" i="10"/>
  <c r="AB132" i="10"/>
  <c r="Z171" i="10"/>
  <c r="AD156" i="10"/>
  <c r="AD159" i="10" s="1"/>
  <c r="Z159" i="10"/>
  <c r="AD171" i="10"/>
  <c r="J111" i="10"/>
  <c r="J116" i="10" s="1"/>
  <c r="J209" i="10" s="1"/>
  <c r="J218" i="10" s="1"/>
  <c r="F194" i="10"/>
  <c r="N170" i="10"/>
  <c r="R170" i="10" s="1"/>
  <c r="R171" i="10" s="1"/>
  <c r="H159" i="10"/>
  <c r="O209" i="10"/>
  <c r="O218" i="10" s="1"/>
  <c r="N156" i="10"/>
  <c r="R156" i="10" s="1"/>
  <c r="R159" i="10" s="1"/>
  <c r="N149" i="10"/>
  <c r="N193" i="10"/>
  <c r="R193" i="10" s="1"/>
  <c r="R194" i="10" s="1"/>
  <c r="F111" i="10"/>
  <c r="F116" i="10" s="1"/>
  <c r="L129" i="10"/>
  <c r="N82" i="10"/>
  <c r="N111" i="10"/>
  <c r="N116" i="10" s="1"/>
  <c r="R68" i="10"/>
  <c r="R82" i="10" s="1"/>
  <c r="R129" i="10"/>
  <c r="L170" i="10"/>
  <c r="L171" i="10" s="1"/>
  <c r="H171" i="10"/>
  <c r="I111" i="10"/>
  <c r="I116" i="10" s="1"/>
  <c r="I209" i="10" s="1"/>
  <c r="I218" i="10" s="1"/>
  <c r="N127" i="10"/>
  <c r="R127" i="10" s="1"/>
  <c r="B194" i="10"/>
  <c r="N194" i="10"/>
  <c r="R111" i="10"/>
  <c r="R116" i="10" s="1"/>
  <c r="H209" i="10"/>
  <c r="H218" i="10" s="1"/>
  <c r="L127" i="10"/>
  <c r="L111" i="10"/>
  <c r="L116" i="10" s="1"/>
  <c r="C209" i="10"/>
  <c r="C218" i="10" s="1"/>
  <c r="AR125" i="4"/>
  <c r="F65" i="4"/>
  <c r="AR113" i="4"/>
  <c r="AV113" i="4" s="1"/>
  <c r="AR129" i="4"/>
  <c r="AV129" i="4" s="1"/>
  <c r="H111" i="4"/>
  <c r="H116" i="4" s="1"/>
  <c r="R128" i="4"/>
  <c r="AR128" i="4"/>
  <c r="AV128" i="4" s="1"/>
  <c r="AR135" i="4"/>
  <c r="AV135" i="4" s="1"/>
  <c r="AD135" i="4"/>
  <c r="B171" i="10"/>
  <c r="F132" i="10"/>
  <c r="F156" i="10"/>
  <c r="F159" i="10" s="1"/>
  <c r="B159" i="10"/>
  <c r="R149" i="9"/>
  <c r="R157" i="9"/>
  <c r="R156" i="9"/>
  <c r="R170" i="9"/>
  <c r="R171" i="9" s="1"/>
  <c r="AR110" i="9"/>
  <c r="AD110" i="9"/>
  <c r="AA209" i="9"/>
  <c r="AA218" i="9" s="1"/>
  <c r="Z194" i="9"/>
  <c r="AD171" i="9"/>
  <c r="Z171" i="9"/>
  <c r="AD156" i="9"/>
  <c r="AD159" i="9" s="1"/>
  <c r="Z159" i="9"/>
  <c r="AD132" i="9"/>
  <c r="Z132" i="9"/>
  <c r="Z222" i="9"/>
  <c r="AD111" i="9"/>
  <c r="Z116" i="9"/>
  <c r="B171" i="9"/>
  <c r="B194" i="9"/>
  <c r="N127" i="9"/>
  <c r="R127" i="9" s="1"/>
  <c r="I116" i="9"/>
  <c r="I111" i="9"/>
  <c r="C111" i="9"/>
  <c r="C116" i="9" s="1"/>
  <c r="R110" i="9"/>
  <c r="D132" i="9"/>
  <c r="D111" i="9"/>
  <c r="D116" i="9" s="1"/>
  <c r="B159" i="9"/>
  <c r="H127" i="9"/>
  <c r="I127" i="9"/>
  <c r="Q111" i="9"/>
  <c r="R111" i="9" s="1"/>
  <c r="C127" i="9"/>
  <c r="Q127" i="9"/>
  <c r="Q132" i="9" s="1"/>
  <c r="N171" i="9"/>
  <c r="R159" i="9"/>
  <c r="N159" i="9"/>
  <c r="R193" i="9"/>
  <c r="R194" i="9" s="1"/>
  <c r="N194" i="9"/>
  <c r="L111" i="9"/>
  <c r="L116" i="9" s="1"/>
  <c r="H116" i="9"/>
  <c r="I132" i="9"/>
  <c r="I209" i="9" s="1"/>
  <c r="I218" i="9" s="1"/>
  <c r="L129" i="9"/>
  <c r="B116" i="9"/>
  <c r="AV110" i="4"/>
  <c r="N146" i="4"/>
  <c r="N144" i="4"/>
  <c r="N145" i="4"/>
  <c r="N164" i="4"/>
  <c r="N139" i="4"/>
  <c r="N138" i="4"/>
  <c r="N178" i="4"/>
  <c r="O153" i="4"/>
  <c r="N148" i="4"/>
  <c r="R148" i="4" s="1"/>
  <c r="AA127" i="4"/>
  <c r="AA132" i="4" s="1"/>
  <c r="Z129" i="4"/>
  <c r="AD129" i="4" s="1"/>
  <c r="AD113" i="4"/>
  <c r="Z65" i="4"/>
  <c r="AD121" i="4"/>
  <c r="AD125" i="4" s="1"/>
  <c r="Z125" i="4"/>
  <c r="Z126" i="4" s="1"/>
  <c r="AD68" i="4"/>
  <c r="AD82" i="4" s="1"/>
  <c r="Z157" i="4"/>
  <c r="AD157" i="4" s="1"/>
  <c r="Z193" i="4"/>
  <c r="AD193" i="4" s="1"/>
  <c r="AD194" i="4" s="1"/>
  <c r="Z170" i="4"/>
  <c r="AD170" i="4" s="1"/>
  <c r="AB116" i="4"/>
  <c r="AB209" i="4" s="1"/>
  <c r="AB218" i="4" s="1"/>
  <c r="AD156" i="4"/>
  <c r="AD164" i="4"/>
  <c r="Z149" i="4"/>
  <c r="AD144" i="4"/>
  <c r="AD149" i="4" s="1"/>
  <c r="AD153" i="4"/>
  <c r="AA159" i="4"/>
  <c r="AD110" i="4"/>
  <c r="Z141" i="4"/>
  <c r="AD138" i="4"/>
  <c r="AD141" i="4" s="1"/>
  <c r="Z82" i="4"/>
  <c r="Z222" i="4" s="1"/>
  <c r="Z194" i="4"/>
  <c r="R65" i="4"/>
  <c r="N111" i="4"/>
  <c r="AR111" i="4" s="1"/>
  <c r="AV111" i="4" s="1"/>
  <c r="N126" i="4"/>
  <c r="N127" i="4"/>
  <c r="R121" i="4"/>
  <c r="R125" i="4"/>
  <c r="P209" i="4"/>
  <c r="R110" i="4"/>
  <c r="P218" i="4"/>
  <c r="R113" i="4"/>
  <c r="R146" i="4"/>
  <c r="R145" i="4"/>
  <c r="R139" i="4"/>
  <c r="N68" i="4"/>
  <c r="R168" i="4"/>
  <c r="Q111" i="4"/>
  <c r="Q116" i="4" s="1"/>
  <c r="Q209" i="4" s="1"/>
  <c r="Q218" i="4" s="1"/>
  <c r="K209" i="4"/>
  <c r="K218" i="4" s="1"/>
  <c r="H125" i="4"/>
  <c r="H126" i="4" s="1"/>
  <c r="K111" i="4"/>
  <c r="K116" i="4" s="1"/>
  <c r="L125" i="4"/>
  <c r="H159" i="4"/>
  <c r="J132" i="4"/>
  <c r="J209" i="4" s="1"/>
  <c r="J218" i="4" s="1"/>
  <c r="L110" i="4"/>
  <c r="L129" i="4"/>
  <c r="H194" i="4"/>
  <c r="F141" i="4"/>
  <c r="E53" i="8"/>
  <c r="E51" i="8"/>
  <c r="V6" i="8"/>
  <c r="V16" i="8"/>
  <c r="V13" i="8"/>
  <c r="O51" i="8"/>
  <c r="V12" i="8"/>
  <c r="B194" i="4"/>
  <c r="C209" i="4"/>
  <c r="C218" i="4" s="1"/>
  <c r="F129" i="4"/>
  <c r="F125" i="4"/>
  <c r="E111" i="4"/>
  <c r="F113" i="4"/>
  <c r="B159" i="4"/>
  <c r="B116" i="4"/>
  <c r="D209" i="4"/>
  <c r="D218" i="4" s="1"/>
  <c r="C132" i="4"/>
  <c r="B125" i="4"/>
  <c r="R126" i="15" l="1"/>
  <c r="AR126" i="15"/>
  <c r="L127" i="15"/>
  <c r="L132" i="15" s="1"/>
  <c r="L209" i="15" s="1"/>
  <c r="L218" i="15" s="1"/>
  <c r="AR127" i="15"/>
  <c r="AR132" i="15" s="1"/>
  <c r="F132" i="15"/>
  <c r="D209" i="15"/>
  <c r="D218" i="15" s="1"/>
  <c r="F111" i="15"/>
  <c r="F116" i="15" s="1"/>
  <c r="R132" i="15"/>
  <c r="R209" i="15" s="1"/>
  <c r="R218" i="15" s="1"/>
  <c r="N132" i="15"/>
  <c r="N209" i="15" s="1"/>
  <c r="N218" i="15" s="1"/>
  <c r="F209" i="15"/>
  <c r="F218" i="15" s="1"/>
  <c r="AB209" i="10"/>
  <c r="AB218" i="10" s="1"/>
  <c r="AB116" i="10"/>
  <c r="Z209" i="10"/>
  <c r="Z218" i="10" s="1"/>
  <c r="AD127" i="10"/>
  <c r="AD132" i="10" s="1"/>
  <c r="AD209" i="10" s="1"/>
  <c r="AD218" i="10" s="1"/>
  <c r="L132" i="10"/>
  <c r="L209" i="10" s="1"/>
  <c r="L218" i="10" s="1"/>
  <c r="N159" i="10"/>
  <c r="N171" i="10"/>
  <c r="R126" i="10"/>
  <c r="R132" i="10" s="1"/>
  <c r="R209" i="10" s="1"/>
  <c r="R218" i="10" s="1"/>
  <c r="N132" i="10"/>
  <c r="N209" i="10" s="1"/>
  <c r="N218" i="10" s="1"/>
  <c r="B209" i="10"/>
  <c r="B218" i="10" s="1"/>
  <c r="F209" i="10"/>
  <c r="F218" i="10" s="1"/>
  <c r="AR116" i="4"/>
  <c r="AV116" i="4"/>
  <c r="B126" i="4"/>
  <c r="B127" i="4"/>
  <c r="H127" i="4"/>
  <c r="L127" i="4" s="1"/>
  <c r="R126" i="4"/>
  <c r="AR126" i="4"/>
  <c r="AV126" i="4" s="1"/>
  <c r="AD171" i="4"/>
  <c r="Z171" i="4"/>
  <c r="AR116" i="9"/>
  <c r="AV110" i="9"/>
  <c r="AV116" i="9" s="1"/>
  <c r="AD116" i="9"/>
  <c r="Z209" i="9"/>
  <c r="Z218" i="9" s="1"/>
  <c r="AD209" i="9"/>
  <c r="AD218" i="9" s="1"/>
  <c r="F111" i="9"/>
  <c r="F116" i="9" s="1"/>
  <c r="D209" i="9"/>
  <c r="D218" i="9" s="1"/>
  <c r="B209" i="9"/>
  <c r="B218" i="9" s="1"/>
  <c r="R116" i="9"/>
  <c r="Q116" i="9"/>
  <c r="Q209" i="9" s="1"/>
  <c r="Q218" i="9" s="1"/>
  <c r="N132" i="9"/>
  <c r="N209" i="9" s="1"/>
  <c r="N218" i="9" s="1"/>
  <c r="R126" i="9"/>
  <c r="R132" i="9" s="1"/>
  <c r="L127" i="9"/>
  <c r="L132" i="9" s="1"/>
  <c r="L209" i="9" s="1"/>
  <c r="L218" i="9" s="1"/>
  <c r="H132" i="9"/>
  <c r="H209" i="9" s="1"/>
  <c r="H218" i="9" s="1"/>
  <c r="C132" i="9"/>
  <c r="C209" i="9" s="1"/>
  <c r="C218" i="9" s="1"/>
  <c r="F127" i="9"/>
  <c r="F132" i="9" s="1"/>
  <c r="F209" i="9" s="1"/>
  <c r="F218" i="9" s="1"/>
  <c r="R127" i="4"/>
  <c r="R132" i="4" s="1"/>
  <c r="N193" i="4"/>
  <c r="R193" i="4" s="1"/>
  <c r="N157" i="4"/>
  <c r="R157" i="4" s="1"/>
  <c r="N156" i="4"/>
  <c r="AA209" i="4"/>
  <c r="AA218" i="4" s="1"/>
  <c r="Z111" i="4"/>
  <c r="AD111" i="4" s="1"/>
  <c r="AD116" i="4" s="1"/>
  <c r="Z127" i="4"/>
  <c r="AD127" i="4"/>
  <c r="Z159" i="4"/>
  <c r="AD159" i="4"/>
  <c r="N132" i="4"/>
  <c r="R178" i="4"/>
  <c r="R111" i="4"/>
  <c r="R116" i="4" s="1"/>
  <c r="N116" i="4"/>
  <c r="R164" i="4"/>
  <c r="O159" i="4"/>
  <c r="O209" i="4" s="1"/>
  <c r="O218" i="4" s="1"/>
  <c r="R153" i="4"/>
  <c r="R138" i="4"/>
  <c r="R141" i="4" s="1"/>
  <c r="N141" i="4"/>
  <c r="R144" i="4"/>
  <c r="R149" i="4" s="1"/>
  <c r="N149" i="4"/>
  <c r="N170" i="4"/>
  <c r="R170" i="4" s="1"/>
  <c r="R68" i="4"/>
  <c r="R82" i="4" s="1"/>
  <c r="N82" i="4"/>
  <c r="L111" i="4"/>
  <c r="L116" i="4" s="1"/>
  <c r="I116" i="4"/>
  <c r="I209" i="4" s="1"/>
  <c r="I218" i="4" s="1"/>
  <c r="V53" i="8"/>
  <c r="E116" i="4"/>
  <c r="E209" i="4" s="1"/>
  <c r="E218" i="4" s="1"/>
  <c r="F111" i="4"/>
  <c r="F116" i="4" s="1"/>
  <c r="F127" i="4"/>
  <c r="R209" i="9" l="1"/>
  <c r="R218" i="9" s="1"/>
  <c r="AR127" i="4"/>
  <c r="AR132" i="4"/>
  <c r="AV127" i="4"/>
  <c r="AV132" i="4" s="1"/>
  <c r="Z116" i="4"/>
  <c r="AD126" i="4"/>
  <c r="AD132" i="4" s="1"/>
  <c r="AD209" i="4" s="1"/>
  <c r="AD218" i="4" s="1"/>
  <c r="Z132" i="4"/>
  <c r="N194" i="4"/>
  <c r="N171" i="4"/>
  <c r="R171" i="4"/>
  <c r="R156" i="4"/>
  <c r="R159" i="4" s="1"/>
  <c r="N159" i="4"/>
  <c r="R194" i="4"/>
  <c r="H132" i="4"/>
  <c r="H209" i="4" s="1"/>
  <c r="H218" i="4" s="1"/>
  <c r="L126" i="4"/>
  <c r="L132" i="4" s="1"/>
  <c r="L209" i="4" s="1"/>
  <c r="L218" i="4" s="1"/>
  <c r="B132" i="4"/>
  <c r="B209" i="4" s="1"/>
  <c r="B218" i="4" s="1"/>
  <c r="F126" i="4"/>
  <c r="F132" i="4" s="1"/>
  <c r="F209" i="4" s="1"/>
  <c r="F218" i="4" s="1"/>
  <c r="Z135" i="3"/>
  <c r="J30" i="18"/>
  <c r="J29" i="18"/>
  <c r="H15" i="18"/>
  <c r="H10" i="18"/>
  <c r="J38" i="18"/>
  <c r="D2" i="18"/>
  <c r="I28" i="18" s="1"/>
  <c r="J28" i="18" s="1"/>
  <c r="Z222" i="3"/>
  <c r="T2" i="3"/>
  <c r="T4" i="3"/>
  <c r="T3" i="3" s="1"/>
  <c r="T5" i="3"/>
  <c r="T6" i="3"/>
  <c r="T17" i="3"/>
  <c r="T144" i="3" s="1"/>
  <c r="U17" i="3"/>
  <c r="X21" i="3"/>
  <c r="X22" i="3"/>
  <c r="X23" i="3"/>
  <c r="X24" i="3"/>
  <c r="X25" i="3"/>
  <c r="W26" i="3"/>
  <c r="X26" i="3"/>
  <c r="X27" i="3"/>
  <c r="X28" i="3"/>
  <c r="X29" i="3"/>
  <c r="X36" i="3" s="1"/>
  <c r="X63" i="3" s="1"/>
  <c r="X30" i="3"/>
  <c r="X31" i="3"/>
  <c r="X32" i="3"/>
  <c r="X33" i="3"/>
  <c r="X34" i="3"/>
  <c r="X35" i="3"/>
  <c r="T36" i="3"/>
  <c r="T121" i="3" s="1"/>
  <c r="U36" i="3"/>
  <c r="V36" i="3"/>
  <c r="W36" i="3"/>
  <c r="W63" i="3" s="1"/>
  <c r="W38" i="3"/>
  <c r="X38" i="3"/>
  <c r="X39" i="3"/>
  <c r="X40" i="3"/>
  <c r="X41" i="3"/>
  <c r="X42" i="3"/>
  <c r="X61" i="3" s="1"/>
  <c r="X64" i="3" s="1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T61" i="3"/>
  <c r="T64" i="3" s="1"/>
  <c r="U61" i="3"/>
  <c r="U64" i="3" s="1"/>
  <c r="U113" i="3" s="1"/>
  <c r="V61" i="3"/>
  <c r="V64" i="3" s="1"/>
  <c r="W61" i="3"/>
  <c r="W64" i="3" s="1"/>
  <c r="U63" i="3"/>
  <c r="U129" i="3" s="1"/>
  <c r="V63" i="3"/>
  <c r="V129" i="3" s="1"/>
  <c r="W67" i="3"/>
  <c r="X67" i="3"/>
  <c r="T69" i="3"/>
  <c r="X69" i="3"/>
  <c r="T70" i="3"/>
  <c r="X70" i="3"/>
  <c r="T71" i="3"/>
  <c r="X71" i="3"/>
  <c r="T72" i="3"/>
  <c r="X72" i="3"/>
  <c r="X73" i="3"/>
  <c r="U74" i="3"/>
  <c r="X74" i="3"/>
  <c r="U75" i="3"/>
  <c r="U82" i="3" s="1"/>
  <c r="X75" i="3"/>
  <c r="X76" i="3"/>
  <c r="X77" i="3"/>
  <c r="X78" i="3"/>
  <c r="X79" i="3"/>
  <c r="V80" i="3"/>
  <c r="V82" i="3" s="1"/>
  <c r="X80" i="3"/>
  <c r="V81" i="3"/>
  <c r="X81" i="3" s="1"/>
  <c r="W82" i="3"/>
  <c r="W84" i="3"/>
  <c r="W91" i="3" s="1"/>
  <c r="W118" i="3" s="1"/>
  <c r="W134" i="3" s="1"/>
  <c r="X84" i="3"/>
  <c r="X91" i="3" s="1"/>
  <c r="X118" i="3" s="1"/>
  <c r="X134" i="3" s="1"/>
  <c r="T88" i="3"/>
  <c r="U88" i="3"/>
  <c r="V88" i="3"/>
  <c r="W88" i="3"/>
  <c r="X88" i="3"/>
  <c r="T93" i="3"/>
  <c r="T109" i="3" s="1"/>
  <c r="T110" i="3" s="1"/>
  <c r="X93" i="3"/>
  <c r="X94" i="3"/>
  <c r="X95" i="3"/>
  <c r="X96" i="3"/>
  <c r="X97" i="3"/>
  <c r="T98" i="3"/>
  <c r="X98" i="3"/>
  <c r="T99" i="3"/>
  <c r="X99" i="3" s="1"/>
  <c r="X100" i="3"/>
  <c r="T101" i="3"/>
  <c r="V101" i="3"/>
  <c r="V109" i="3" s="1"/>
  <c r="V110" i="3" s="1"/>
  <c r="X101" i="3"/>
  <c r="X102" i="3"/>
  <c r="X103" i="3"/>
  <c r="X104" i="3"/>
  <c r="X105" i="3"/>
  <c r="X106" i="3"/>
  <c r="X107" i="3"/>
  <c r="X108" i="3"/>
  <c r="U109" i="3"/>
  <c r="W109" i="3"/>
  <c r="U110" i="3"/>
  <c r="W110" i="3"/>
  <c r="T112" i="3"/>
  <c r="U112" i="3"/>
  <c r="V112" i="3"/>
  <c r="W112" i="3"/>
  <c r="X112" i="3"/>
  <c r="X114" i="3"/>
  <c r="X115" i="3"/>
  <c r="T119" i="3"/>
  <c r="X119" i="3"/>
  <c r="X120" i="3"/>
  <c r="U122" i="3"/>
  <c r="U125" i="3" s="1"/>
  <c r="U126" i="3" s="1"/>
  <c r="X122" i="3"/>
  <c r="T123" i="3"/>
  <c r="U123" i="3"/>
  <c r="V123" i="3"/>
  <c r="V125" i="3" s="1"/>
  <c r="V126" i="3" s="1"/>
  <c r="W123" i="3"/>
  <c r="W125" i="3" s="1"/>
  <c r="W126" i="3" s="1"/>
  <c r="X123" i="3"/>
  <c r="T124" i="3"/>
  <c r="X124" i="3"/>
  <c r="U128" i="3"/>
  <c r="X130" i="3"/>
  <c r="X131" i="3"/>
  <c r="T135" i="3"/>
  <c r="X135" i="3"/>
  <c r="X136" i="3"/>
  <c r="X137" i="3"/>
  <c r="T138" i="3"/>
  <c r="X138" i="3" s="1"/>
  <c r="U140" i="3"/>
  <c r="X140" i="3"/>
  <c r="U141" i="3"/>
  <c r="V141" i="3"/>
  <c r="W141" i="3"/>
  <c r="X147" i="3"/>
  <c r="T148" i="3"/>
  <c r="X148" i="3"/>
  <c r="U149" i="3"/>
  <c r="V149" i="3"/>
  <c r="W149" i="3"/>
  <c r="X152" i="3"/>
  <c r="U153" i="3"/>
  <c r="X153" i="3"/>
  <c r="U154" i="3"/>
  <c r="U159" i="3" s="1"/>
  <c r="V154" i="3"/>
  <c r="V159" i="3" s="1"/>
  <c r="W154" i="3"/>
  <c r="W159" i="3" s="1"/>
  <c r="X155" i="3"/>
  <c r="X158" i="3"/>
  <c r="X162" i="3"/>
  <c r="X163" i="3"/>
  <c r="X165" i="3"/>
  <c r="X166" i="3"/>
  <c r="X167" i="3"/>
  <c r="T168" i="3"/>
  <c r="X168" i="3"/>
  <c r="X169" i="3"/>
  <c r="U171" i="3"/>
  <c r="V171" i="3"/>
  <c r="W171" i="3"/>
  <c r="T174" i="3"/>
  <c r="X174" i="3"/>
  <c r="T175" i="3"/>
  <c r="X175" i="3" s="1"/>
  <c r="T176" i="3"/>
  <c r="X176" i="3"/>
  <c r="T177" i="3"/>
  <c r="X177" i="3"/>
  <c r="T178" i="3"/>
  <c r="X178" i="3"/>
  <c r="T179" i="3"/>
  <c r="X179" i="3"/>
  <c r="V180" i="3"/>
  <c r="V194" i="3" s="1"/>
  <c r="X180" i="3"/>
  <c r="V181" i="3"/>
  <c r="X181" i="3" s="1"/>
  <c r="T182" i="3"/>
  <c r="X182" i="3"/>
  <c r="T183" i="3"/>
  <c r="X183" i="3"/>
  <c r="T184" i="3"/>
  <c r="X184" i="3"/>
  <c r="T185" i="3"/>
  <c r="X185" i="3"/>
  <c r="X186" i="3"/>
  <c r="X187" i="3"/>
  <c r="X188" i="3"/>
  <c r="X189" i="3"/>
  <c r="X190" i="3"/>
  <c r="X191" i="3"/>
  <c r="X192" i="3"/>
  <c r="U194" i="3"/>
  <c r="W194" i="3"/>
  <c r="T197" i="3"/>
  <c r="X197" i="3"/>
  <c r="X198" i="3"/>
  <c r="T199" i="3"/>
  <c r="X199" i="3"/>
  <c r="X200" i="3"/>
  <c r="T201" i="3"/>
  <c r="T207" i="3" s="1"/>
  <c r="X201" i="3"/>
  <c r="T202" i="3"/>
  <c r="X202" i="3"/>
  <c r="T203" i="3"/>
  <c r="X203" i="3"/>
  <c r="X204" i="3"/>
  <c r="T205" i="3"/>
  <c r="X205" i="3"/>
  <c r="T206" i="3"/>
  <c r="X206" i="3"/>
  <c r="U207" i="3"/>
  <c r="V207" i="3"/>
  <c r="W207" i="3"/>
  <c r="X207" i="3"/>
  <c r="X212" i="3"/>
  <c r="X216" i="3" s="1"/>
  <c r="X213" i="3"/>
  <c r="X214" i="3"/>
  <c r="X215" i="3"/>
  <c r="T216" i="3"/>
  <c r="U216" i="3"/>
  <c r="V216" i="3"/>
  <c r="W216" i="3"/>
  <c r="T220" i="3"/>
  <c r="U220" i="3"/>
  <c r="V220" i="3"/>
  <c r="W220" i="3"/>
  <c r="X220" i="3"/>
  <c r="N206" i="3"/>
  <c r="N205" i="3"/>
  <c r="N203" i="3"/>
  <c r="N202" i="3"/>
  <c r="N201" i="3"/>
  <c r="N200" i="3"/>
  <c r="R200" i="3" s="1"/>
  <c r="N199" i="3"/>
  <c r="R199" i="3" s="1"/>
  <c r="N198" i="3"/>
  <c r="R198" i="3" s="1"/>
  <c r="N197" i="3"/>
  <c r="R197" i="3" s="1"/>
  <c r="N188" i="3"/>
  <c r="R188" i="3" s="1"/>
  <c r="N185" i="3"/>
  <c r="N184" i="3"/>
  <c r="N183" i="3"/>
  <c r="N182" i="3"/>
  <c r="N179" i="3"/>
  <c r="R179" i="3" s="1"/>
  <c r="N178" i="3"/>
  <c r="N177" i="3"/>
  <c r="N176" i="3"/>
  <c r="N175" i="3"/>
  <c r="R175" i="3" s="1"/>
  <c r="N174" i="3"/>
  <c r="N168" i="3"/>
  <c r="N166" i="3"/>
  <c r="N164" i="3"/>
  <c r="N163" i="3"/>
  <c r="R163" i="3" s="1"/>
  <c r="N152" i="3"/>
  <c r="N157" i="3"/>
  <c r="N156" i="3"/>
  <c r="O154" i="3"/>
  <c r="O153" i="3"/>
  <c r="N148" i="3"/>
  <c r="N146" i="3"/>
  <c r="N145" i="3"/>
  <c r="N144" i="3"/>
  <c r="O140" i="3"/>
  <c r="N139" i="3"/>
  <c r="N138" i="3"/>
  <c r="N137" i="3"/>
  <c r="N135" i="3"/>
  <c r="N110" i="3"/>
  <c r="P127" i="3"/>
  <c r="P126" i="3"/>
  <c r="N124" i="3"/>
  <c r="N123" i="3"/>
  <c r="O123" i="3"/>
  <c r="O122" i="3"/>
  <c r="N120" i="3"/>
  <c r="N119" i="3"/>
  <c r="P111" i="3"/>
  <c r="P110" i="3"/>
  <c r="O110" i="3"/>
  <c r="N108" i="3"/>
  <c r="R108" i="3" s="1"/>
  <c r="N107" i="3"/>
  <c r="O106" i="3"/>
  <c r="O105" i="3"/>
  <c r="R105" i="3" s="1"/>
  <c r="O104" i="3"/>
  <c r="P102" i="3"/>
  <c r="N101" i="3"/>
  <c r="N100" i="3"/>
  <c r="R100" i="3" s="1"/>
  <c r="N99" i="3"/>
  <c r="N98" i="3"/>
  <c r="N95" i="3"/>
  <c r="N94" i="3"/>
  <c r="N93" i="3"/>
  <c r="P181" i="3"/>
  <c r="P180" i="3"/>
  <c r="P81" i="3"/>
  <c r="P80" i="3"/>
  <c r="O74" i="3"/>
  <c r="R74" i="3" s="1"/>
  <c r="N4" i="3"/>
  <c r="N2" i="3"/>
  <c r="R220" i="3"/>
  <c r="Q220" i="3"/>
  <c r="P220" i="3"/>
  <c r="O220" i="3"/>
  <c r="N220" i="3"/>
  <c r="Q216" i="3"/>
  <c r="P216" i="3"/>
  <c r="O216" i="3"/>
  <c r="N216" i="3"/>
  <c r="R215" i="3"/>
  <c r="R214" i="3"/>
  <c r="R216" i="3" s="1"/>
  <c r="R213" i="3"/>
  <c r="R212" i="3"/>
  <c r="Q207" i="3"/>
  <c r="P207" i="3"/>
  <c r="O207" i="3"/>
  <c r="R206" i="3"/>
  <c r="R205" i="3"/>
  <c r="R204" i="3"/>
  <c r="R203" i="3"/>
  <c r="R202" i="3"/>
  <c r="R201" i="3"/>
  <c r="Q194" i="3"/>
  <c r="P194" i="3"/>
  <c r="O194" i="3"/>
  <c r="R192" i="3"/>
  <c r="R191" i="3"/>
  <c r="R190" i="3"/>
  <c r="R189" i="3"/>
  <c r="R187" i="3"/>
  <c r="R186" i="3"/>
  <c r="R185" i="3"/>
  <c r="R184" i="3"/>
  <c r="R183" i="3"/>
  <c r="R182" i="3"/>
  <c r="R181" i="3"/>
  <c r="R180" i="3"/>
  <c r="R177" i="3"/>
  <c r="R176" i="3"/>
  <c r="R174" i="3"/>
  <c r="Q171" i="3"/>
  <c r="P171" i="3"/>
  <c r="O171" i="3"/>
  <c r="R169" i="3"/>
  <c r="R167" i="3"/>
  <c r="R166" i="3"/>
  <c r="R165" i="3"/>
  <c r="R162" i="3"/>
  <c r="R158" i="3"/>
  <c r="R155" i="3"/>
  <c r="Q154" i="3"/>
  <c r="Q159" i="3" s="1"/>
  <c r="R152" i="3"/>
  <c r="Q149" i="3"/>
  <c r="P149" i="3"/>
  <c r="O149" i="3"/>
  <c r="R147" i="3"/>
  <c r="Q141" i="3"/>
  <c r="P141" i="3"/>
  <c r="O141" i="3"/>
  <c r="R137" i="3"/>
  <c r="R136" i="3"/>
  <c r="R135" i="3"/>
  <c r="R131" i="3"/>
  <c r="R130" i="3"/>
  <c r="Q128" i="3"/>
  <c r="P125" i="3"/>
  <c r="R124" i="3"/>
  <c r="Q123" i="3"/>
  <c r="Q125" i="3" s="1"/>
  <c r="Q126" i="3" s="1"/>
  <c r="R122" i="3"/>
  <c r="R120" i="3"/>
  <c r="R119" i="3"/>
  <c r="R115" i="3"/>
  <c r="R114" i="3"/>
  <c r="P113" i="3"/>
  <c r="Q112" i="3"/>
  <c r="R112" i="3" s="1"/>
  <c r="P112" i="3"/>
  <c r="O112" i="3"/>
  <c r="N112" i="3"/>
  <c r="Q110" i="3"/>
  <c r="Q109" i="3"/>
  <c r="P109" i="3"/>
  <c r="O109" i="3"/>
  <c r="R107" i="3"/>
  <c r="R106" i="3"/>
  <c r="R104" i="3"/>
  <c r="R103" i="3"/>
  <c r="R102" i="3"/>
  <c r="R101" i="3"/>
  <c r="R99" i="3"/>
  <c r="R98" i="3"/>
  <c r="R97" i="3"/>
  <c r="R96" i="3"/>
  <c r="R95" i="3"/>
  <c r="R94" i="3"/>
  <c r="R93" i="3"/>
  <c r="Q88" i="3"/>
  <c r="P88" i="3"/>
  <c r="O88" i="3"/>
  <c r="N88" i="3"/>
  <c r="R87" i="3"/>
  <c r="R88" i="3" s="1"/>
  <c r="R86" i="3"/>
  <c r="R85" i="3"/>
  <c r="Q82" i="3"/>
  <c r="R81" i="3"/>
  <c r="R80" i="3"/>
  <c r="R79" i="3"/>
  <c r="R78" i="3"/>
  <c r="R77" i="3"/>
  <c r="R76" i="3"/>
  <c r="R75" i="3"/>
  <c r="R73" i="3"/>
  <c r="R72" i="3"/>
  <c r="N71" i="3"/>
  <c r="R71" i="3" s="1"/>
  <c r="N70" i="3"/>
  <c r="R70" i="3" s="1"/>
  <c r="N69" i="3"/>
  <c r="R69" i="3" s="1"/>
  <c r="R67" i="3"/>
  <c r="R84" i="3" s="1"/>
  <c r="R91" i="3" s="1"/>
  <c r="R118" i="3" s="1"/>
  <c r="R134" i="3" s="1"/>
  <c r="Q67" i="3"/>
  <c r="Q84" i="3" s="1"/>
  <c r="Q91" i="3" s="1"/>
  <c r="Q118" i="3" s="1"/>
  <c r="Q134" i="3" s="1"/>
  <c r="Q65" i="3"/>
  <c r="P65" i="3"/>
  <c r="Q64" i="3"/>
  <c r="Q111" i="3" s="1"/>
  <c r="P64" i="3"/>
  <c r="Q63" i="3"/>
  <c r="Q129" i="3" s="1"/>
  <c r="P63" i="3"/>
  <c r="P129" i="3" s="1"/>
  <c r="N63" i="3"/>
  <c r="Q61" i="3"/>
  <c r="P61" i="3"/>
  <c r="O61" i="3"/>
  <c r="O64" i="3" s="1"/>
  <c r="N61" i="3"/>
  <c r="N64" i="3" s="1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Q38" i="3"/>
  <c r="Q36" i="3"/>
  <c r="P36" i="3"/>
  <c r="P128" i="3" s="1"/>
  <c r="O36" i="3"/>
  <c r="O128" i="3" s="1"/>
  <c r="N36" i="3"/>
  <c r="N128" i="3" s="1"/>
  <c r="R35" i="3"/>
  <c r="R34" i="3"/>
  <c r="R33" i="3"/>
  <c r="R32" i="3"/>
  <c r="R31" i="3"/>
  <c r="R30" i="3"/>
  <c r="R29" i="3"/>
  <c r="R28" i="3"/>
  <c r="R27" i="3"/>
  <c r="R36" i="3" s="1"/>
  <c r="R63" i="3" s="1"/>
  <c r="R26" i="3"/>
  <c r="Q26" i="3"/>
  <c r="R25" i="3"/>
  <c r="R24" i="3"/>
  <c r="R23" i="3"/>
  <c r="R22" i="3"/>
  <c r="R21" i="3"/>
  <c r="O17" i="3"/>
  <c r="N13" i="3"/>
  <c r="N12" i="3"/>
  <c r="N11" i="3"/>
  <c r="N10" i="3"/>
  <c r="N9" i="3"/>
  <c r="N8" i="3"/>
  <c r="N7" i="3"/>
  <c r="N6" i="3"/>
  <c r="N5" i="3"/>
  <c r="N17" i="3" s="1"/>
  <c r="H206" i="3"/>
  <c r="H205" i="3"/>
  <c r="L205" i="3" s="1"/>
  <c r="H203" i="3"/>
  <c r="H202" i="3"/>
  <c r="H201" i="3"/>
  <c r="H200" i="3"/>
  <c r="H199" i="3"/>
  <c r="H197" i="3"/>
  <c r="L197" i="3" s="1"/>
  <c r="H185" i="3"/>
  <c r="L185" i="3" s="1"/>
  <c r="H184" i="3"/>
  <c r="H183" i="3"/>
  <c r="H182" i="3"/>
  <c r="H179" i="3"/>
  <c r="H178" i="3"/>
  <c r="L178" i="3" s="1"/>
  <c r="H177" i="3"/>
  <c r="L177" i="3" s="1"/>
  <c r="H176" i="3"/>
  <c r="H175" i="3"/>
  <c r="H174" i="3"/>
  <c r="H170" i="3"/>
  <c r="H168" i="3"/>
  <c r="H166" i="3"/>
  <c r="H165" i="3"/>
  <c r="L165" i="3" s="1"/>
  <c r="H164" i="3"/>
  <c r="I154" i="3"/>
  <c r="H154" i="3"/>
  <c r="L154" i="3" s="1"/>
  <c r="I153" i="3"/>
  <c r="H152" i="3"/>
  <c r="H148" i="3"/>
  <c r="H146" i="3"/>
  <c r="H145" i="3"/>
  <c r="H144" i="3"/>
  <c r="I140" i="3"/>
  <c r="I141" i="3" s="1"/>
  <c r="H139" i="3"/>
  <c r="H138" i="3"/>
  <c r="H135" i="3"/>
  <c r="K127" i="3"/>
  <c r="J127" i="3"/>
  <c r="I127" i="3"/>
  <c r="K126" i="3"/>
  <c r="J126" i="3"/>
  <c r="I126" i="3"/>
  <c r="H124" i="3"/>
  <c r="I123" i="3"/>
  <c r="I125" i="3" s="1"/>
  <c r="H123" i="3"/>
  <c r="I122" i="3"/>
  <c r="H121" i="3"/>
  <c r="H120" i="3"/>
  <c r="H119" i="3"/>
  <c r="K111" i="3"/>
  <c r="J111" i="3"/>
  <c r="I111" i="3"/>
  <c r="K110" i="3"/>
  <c r="J110" i="3"/>
  <c r="I110" i="3"/>
  <c r="H110" i="3"/>
  <c r="H108" i="3"/>
  <c r="L108" i="3" s="1"/>
  <c r="I106" i="3"/>
  <c r="I105" i="3"/>
  <c r="L105" i="3" s="1"/>
  <c r="I104" i="3"/>
  <c r="I109" i="3" s="1"/>
  <c r="J102" i="3"/>
  <c r="H101" i="3"/>
  <c r="H99" i="3"/>
  <c r="L99" i="3" s="1"/>
  <c r="H98" i="3"/>
  <c r="L98" i="3" s="1"/>
  <c r="H96" i="3"/>
  <c r="H95" i="3"/>
  <c r="L95" i="3" s="1"/>
  <c r="H94" i="3"/>
  <c r="L94" i="3" s="1"/>
  <c r="H93" i="3"/>
  <c r="L93" i="3" s="1"/>
  <c r="J181" i="3"/>
  <c r="L181" i="3" s="1"/>
  <c r="J180" i="3"/>
  <c r="J81" i="3"/>
  <c r="L81" i="3" s="1"/>
  <c r="J80" i="3"/>
  <c r="I74" i="3"/>
  <c r="H2" i="3"/>
  <c r="L220" i="3"/>
  <c r="K220" i="3"/>
  <c r="J220" i="3"/>
  <c r="I220" i="3"/>
  <c r="H220" i="3"/>
  <c r="K216" i="3"/>
  <c r="J216" i="3"/>
  <c r="I216" i="3"/>
  <c r="H216" i="3"/>
  <c r="L215" i="3"/>
  <c r="L214" i="3"/>
  <c r="L213" i="3"/>
  <c r="L212" i="3"/>
  <c r="K207" i="3"/>
  <c r="J207" i="3"/>
  <c r="I207" i="3"/>
  <c r="L206" i="3"/>
  <c r="L204" i="3"/>
  <c r="L203" i="3"/>
  <c r="L202" i="3"/>
  <c r="L201" i="3"/>
  <c r="L200" i="3"/>
  <c r="L199" i="3"/>
  <c r="L198" i="3"/>
  <c r="K194" i="3"/>
  <c r="I194" i="3"/>
  <c r="L192" i="3"/>
  <c r="L191" i="3"/>
  <c r="L190" i="3"/>
  <c r="L189" i="3"/>
  <c r="L188" i="3"/>
  <c r="L187" i="3"/>
  <c r="L186" i="3"/>
  <c r="L184" i="3"/>
  <c r="L183" i="3"/>
  <c r="L182" i="3"/>
  <c r="L179" i="3"/>
  <c r="L176" i="3"/>
  <c r="L175" i="3"/>
  <c r="K171" i="3"/>
  <c r="J171" i="3"/>
  <c r="I171" i="3"/>
  <c r="L169" i="3"/>
  <c r="L167" i="3"/>
  <c r="L166" i="3"/>
  <c r="L163" i="3"/>
  <c r="L162" i="3"/>
  <c r="K159" i="3"/>
  <c r="J159" i="3"/>
  <c r="L158" i="3"/>
  <c r="L155" i="3"/>
  <c r="K154" i="3"/>
  <c r="J154" i="3"/>
  <c r="K149" i="3"/>
  <c r="J149" i="3"/>
  <c r="I149" i="3"/>
  <c r="L147" i="3"/>
  <c r="K141" i="3"/>
  <c r="J141" i="3"/>
  <c r="L137" i="3"/>
  <c r="L136" i="3"/>
  <c r="L135" i="3"/>
  <c r="L131" i="3"/>
  <c r="L130" i="3"/>
  <c r="K129" i="3"/>
  <c r="J129" i="3"/>
  <c r="K128" i="3"/>
  <c r="J125" i="3"/>
  <c r="L124" i="3"/>
  <c r="K123" i="3"/>
  <c r="K125" i="3" s="1"/>
  <c r="L122" i="3"/>
  <c r="L120" i="3"/>
  <c r="K118" i="3"/>
  <c r="K134" i="3" s="1"/>
  <c r="L115" i="3"/>
  <c r="L114" i="3"/>
  <c r="K112" i="3"/>
  <c r="J112" i="3"/>
  <c r="L112" i="3" s="1"/>
  <c r="I112" i="3"/>
  <c r="H112" i="3"/>
  <c r="K109" i="3"/>
  <c r="J109" i="3"/>
  <c r="L107" i="3"/>
  <c r="L106" i="3"/>
  <c r="L104" i="3"/>
  <c r="L103" i="3"/>
  <c r="L102" i="3"/>
  <c r="L101" i="3"/>
  <c r="L100" i="3"/>
  <c r="L97" i="3"/>
  <c r="L88" i="3"/>
  <c r="K88" i="3"/>
  <c r="J88" i="3"/>
  <c r="I88" i="3"/>
  <c r="H88" i="3"/>
  <c r="L84" i="3"/>
  <c r="L91" i="3" s="1"/>
  <c r="L118" i="3" s="1"/>
  <c r="L134" i="3" s="1"/>
  <c r="K82" i="3"/>
  <c r="L79" i="3"/>
  <c r="L78" i="3"/>
  <c r="L77" i="3"/>
  <c r="L76" i="3"/>
  <c r="L75" i="3"/>
  <c r="L74" i="3"/>
  <c r="L73" i="3"/>
  <c r="L72" i="3"/>
  <c r="L71" i="3"/>
  <c r="H71" i="3"/>
  <c r="H70" i="3"/>
  <c r="L70" i="3" s="1"/>
  <c r="L69" i="3"/>
  <c r="H69" i="3"/>
  <c r="L67" i="3"/>
  <c r="K67" i="3"/>
  <c r="K84" i="3" s="1"/>
  <c r="K91" i="3" s="1"/>
  <c r="H64" i="3"/>
  <c r="H113" i="3" s="1"/>
  <c r="K63" i="3"/>
  <c r="J63" i="3"/>
  <c r="I63" i="3"/>
  <c r="I129" i="3" s="1"/>
  <c r="H63" i="3"/>
  <c r="H129" i="3" s="1"/>
  <c r="L129" i="3" s="1"/>
  <c r="K61" i="3"/>
  <c r="K64" i="3" s="1"/>
  <c r="J61" i="3"/>
  <c r="J64" i="3" s="1"/>
  <c r="I61" i="3"/>
  <c r="I64" i="3" s="1"/>
  <c r="H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K38" i="3"/>
  <c r="K36" i="3"/>
  <c r="J36" i="3"/>
  <c r="J128" i="3" s="1"/>
  <c r="I36" i="3"/>
  <c r="I128" i="3" s="1"/>
  <c r="H36" i="3"/>
  <c r="H128" i="3" s="1"/>
  <c r="L128" i="3" s="1"/>
  <c r="L35" i="3"/>
  <c r="L34" i="3"/>
  <c r="L33" i="3"/>
  <c r="L32" i="3"/>
  <c r="L31" i="3"/>
  <c r="L30" i="3"/>
  <c r="L29" i="3"/>
  <c r="L28" i="3"/>
  <c r="L27" i="3"/>
  <c r="L36" i="3" s="1"/>
  <c r="L26" i="3"/>
  <c r="K26" i="3"/>
  <c r="L25" i="3"/>
  <c r="L24" i="3"/>
  <c r="L23" i="3"/>
  <c r="L22" i="3"/>
  <c r="L21" i="3"/>
  <c r="I17" i="3"/>
  <c r="H17" i="3"/>
  <c r="H3" i="3"/>
  <c r="B206" i="3"/>
  <c r="B205" i="3"/>
  <c r="B203" i="3"/>
  <c r="F203" i="3" s="1"/>
  <c r="B202" i="3"/>
  <c r="F202" i="3" s="1"/>
  <c r="B201" i="3"/>
  <c r="B200" i="3"/>
  <c r="F200" i="3" s="1"/>
  <c r="B199" i="3"/>
  <c r="B197" i="3"/>
  <c r="B185" i="3"/>
  <c r="F185" i="3" s="1"/>
  <c r="B184" i="3"/>
  <c r="B183" i="3"/>
  <c r="F183" i="3" s="1"/>
  <c r="B182" i="3"/>
  <c r="F182" i="3" s="1"/>
  <c r="B179" i="3"/>
  <c r="B178" i="3"/>
  <c r="F178" i="3" s="1"/>
  <c r="B177" i="3"/>
  <c r="B176" i="3"/>
  <c r="B175" i="3"/>
  <c r="F175" i="3"/>
  <c r="B174" i="3"/>
  <c r="B168" i="3"/>
  <c r="F168" i="3" s="1"/>
  <c r="B166" i="3"/>
  <c r="F166" i="3" s="1"/>
  <c r="B165" i="3"/>
  <c r="F165" i="3" s="1"/>
  <c r="B164" i="3"/>
  <c r="C154" i="3"/>
  <c r="B154" i="3"/>
  <c r="C153" i="3"/>
  <c r="B152" i="3"/>
  <c r="B148" i="3"/>
  <c r="B146" i="3"/>
  <c r="B145" i="3"/>
  <c r="B144" i="3"/>
  <c r="C140" i="3"/>
  <c r="F140" i="3" s="1"/>
  <c r="B139" i="3"/>
  <c r="B138" i="3"/>
  <c r="B135" i="3"/>
  <c r="F135" i="3" s="1"/>
  <c r="D127" i="3"/>
  <c r="C127" i="3"/>
  <c r="C126" i="3"/>
  <c r="D126" i="3"/>
  <c r="E126" i="3"/>
  <c r="C110" i="3"/>
  <c r="D110" i="3"/>
  <c r="E110" i="3"/>
  <c r="B110" i="3"/>
  <c r="B124" i="3"/>
  <c r="C123" i="3"/>
  <c r="B123" i="3"/>
  <c r="F123" i="3" s="1"/>
  <c r="C122" i="3"/>
  <c r="B121" i="3"/>
  <c r="B120" i="3"/>
  <c r="F120" i="3" s="1"/>
  <c r="B119" i="3"/>
  <c r="D111" i="3"/>
  <c r="C111" i="3"/>
  <c r="B108" i="3"/>
  <c r="F108" i="3" s="1"/>
  <c r="C106" i="3"/>
  <c r="C105" i="3"/>
  <c r="C104" i="3"/>
  <c r="D102" i="3"/>
  <c r="B101" i="3"/>
  <c r="B99" i="3"/>
  <c r="F99" i="3" s="1"/>
  <c r="B98" i="3"/>
  <c r="F98" i="3" s="1"/>
  <c r="B96" i="3"/>
  <c r="F96" i="3" s="1"/>
  <c r="B95" i="3"/>
  <c r="B94" i="3"/>
  <c r="B93" i="3"/>
  <c r="D181" i="3"/>
  <c r="D194" i="3" s="1"/>
  <c r="D180" i="3"/>
  <c r="D81" i="3"/>
  <c r="D80" i="3"/>
  <c r="D82" i="3" s="1"/>
  <c r="C74" i="3"/>
  <c r="F220" i="3"/>
  <c r="E220" i="3"/>
  <c r="D220" i="3"/>
  <c r="C220" i="3"/>
  <c r="B220" i="3"/>
  <c r="E216" i="3"/>
  <c r="D216" i="3"/>
  <c r="C216" i="3"/>
  <c r="B216" i="3"/>
  <c r="F215" i="3"/>
  <c r="F214" i="3"/>
  <c r="F213" i="3"/>
  <c r="F212" i="3"/>
  <c r="E207" i="3"/>
  <c r="D207" i="3"/>
  <c r="C207" i="3"/>
  <c r="F206" i="3"/>
  <c r="F205" i="3"/>
  <c r="F204" i="3"/>
  <c r="F201" i="3"/>
  <c r="F199" i="3"/>
  <c r="F198" i="3"/>
  <c r="F197" i="3"/>
  <c r="E194" i="3"/>
  <c r="C194" i="3"/>
  <c r="F192" i="3"/>
  <c r="F191" i="3"/>
  <c r="F190" i="3"/>
  <c r="F189" i="3"/>
  <c r="F188" i="3"/>
  <c r="F187" i="3"/>
  <c r="F186" i="3"/>
  <c r="F184" i="3"/>
  <c r="F181" i="3"/>
  <c r="F179" i="3"/>
  <c r="F177" i="3"/>
  <c r="F176" i="3"/>
  <c r="E171" i="3"/>
  <c r="D171" i="3"/>
  <c r="C171" i="3"/>
  <c r="F169" i="3"/>
  <c r="F167" i="3"/>
  <c r="F163" i="3"/>
  <c r="F162" i="3"/>
  <c r="F158" i="3"/>
  <c r="F155" i="3"/>
  <c r="E149" i="3"/>
  <c r="D149" i="3"/>
  <c r="C149" i="3"/>
  <c r="F148" i="3"/>
  <c r="F147" i="3"/>
  <c r="F146" i="3"/>
  <c r="E141" i="3"/>
  <c r="D141" i="3"/>
  <c r="F139" i="3"/>
  <c r="F137" i="3"/>
  <c r="F136" i="3"/>
  <c r="F131" i="3"/>
  <c r="F130" i="3"/>
  <c r="E129" i="3"/>
  <c r="D129" i="3"/>
  <c r="C129" i="3"/>
  <c r="E128" i="3"/>
  <c r="D125" i="3"/>
  <c r="F124" i="3"/>
  <c r="E123" i="3"/>
  <c r="E125" i="3" s="1"/>
  <c r="C125" i="3"/>
  <c r="F122" i="3"/>
  <c r="F115" i="3"/>
  <c r="F114" i="3"/>
  <c r="E112" i="3"/>
  <c r="D112" i="3"/>
  <c r="F112" i="3" s="1"/>
  <c r="C112" i="3"/>
  <c r="B112" i="3"/>
  <c r="E109" i="3"/>
  <c r="C109" i="3"/>
  <c r="F107" i="3"/>
  <c r="F106" i="3"/>
  <c r="F105" i="3"/>
  <c r="F104" i="3"/>
  <c r="F103" i="3"/>
  <c r="F102" i="3"/>
  <c r="F101" i="3"/>
  <c r="F100" i="3"/>
  <c r="F97" i="3"/>
  <c r="F95" i="3"/>
  <c r="F94" i="3"/>
  <c r="F93" i="3"/>
  <c r="F88" i="3"/>
  <c r="E88" i="3"/>
  <c r="D88" i="3"/>
  <c r="C88" i="3"/>
  <c r="B88" i="3"/>
  <c r="E82" i="3"/>
  <c r="F81" i="3"/>
  <c r="F79" i="3"/>
  <c r="F78" i="3"/>
  <c r="F77" i="3"/>
  <c r="F76" i="3"/>
  <c r="F75" i="3"/>
  <c r="F74" i="3"/>
  <c r="F73" i="3"/>
  <c r="F72" i="3"/>
  <c r="B71" i="3"/>
  <c r="F71" i="3" s="1"/>
  <c r="F70" i="3"/>
  <c r="B70" i="3"/>
  <c r="B69" i="3"/>
  <c r="F69" i="3" s="1"/>
  <c r="F67" i="3"/>
  <c r="F84" i="3" s="1"/>
  <c r="F91" i="3" s="1"/>
  <c r="F118" i="3" s="1"/>
  <c r="F134" i="3" s="1"/>
  <c r="E67" i="3"/>
  <c r="E84" i="3" s="1"/>
  <c r="E91" i="3" s="1"/>
  <c r="E118" i="3" s="1"/>
  <c r="E134" i="3" s="1"/>
  <c r="E63" i="3"/>
  <c r="D63" i="3"/>
  <c r="C63" i="3"/>
  <c r="B63" i="3"/>
  <c r="E61" i="3"/>
  <c r="E64" i="3" s="1"/>
  <c r="D61" i="3"/>
  <c r="D64" i="3" s="1"/>
  <c r="C61" i="3"/>
  <c r="C64" i="3" s="1"/>
  <c r="B61" i="3"/>
  <c r="B64" i="3" s="1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E38" i="3"/>
  <c r="E36" i="3"/>
  <c r="E154" i="3" s="1"/>
  <c r="E159" i="3" s="1"/>
  <c r="D36" i="3"/>
  <c r="D128" i="3" s="1"/>
  <c r="C36" i="3"/>
  <c r="B36" i="3"/>
  <c r="F35" i="3"/>
  <c r="F34" i="3"/>
  <c r="F33" i="3"/>
  <c r="F32" i="3"/>
  <c r="F31" i="3"/>
  <c r="F30" i="3"/>
  <c r="F29" i="3"/>
  <c r="F28" i="3"/>
  <c r="F27" i="3"/>
  <c r="F36" i="3" s="1"/>
  <c r="F26" i="3"/>
  <c r="E26" i="3"/>
  <c r="F25" i="3"/>
  <c r="F24" i="3"/>
  <c r="F23" i="3"/>
  <c r="F22" i="3"/>
  <c r="F21" i="3"/>
  <c r="C17" i="3"/>
  <c r="B17" i="3"/>
  <c r="B3" i="3"/>
  <c r="V181" i="1"/>
  <c r="B174" i="1"/>
  <c r="H174" i="1"/>
  <c r="N174" i="1"/>
  <c r="T174" i="1"/>
  <c r="U154" i="1"/>
  <c r="T154" i="1"/>
  <c r="U127" i="1"/>
  <c r="T127" i="1"/>
  <c r="T101" i="1"/>
  <c r="T99" i="1"/>
  <c r="T98" i="1"/>
  <c r="U74" i="1"/>
  <c r="N188" i="1"/>
  <c r="N192" i="1"/>
  <c r="N206" i="1"/>
  <c r="N193" i="1"/>
  <c r="P181" i="1"/>
  <c r="P180" i="1"/>
  <c r="N154" i="1"/>
  <c r="O154" i="1"/>
  <c r="O153" i="1"/>
  <c r="O127" i="1"/>
  <c r="N127" i="1"/>
  <c r="P111" i="1"/>
  <c r="O111" i="1"/>
  <c r="N111" i="1"/>
  <c r="N99" i="1"/>
  <c r="N94" i="1"/>
  <c r="O74" i="1"/>
  <c r="H193" i="1"/>
  <c r="J181" i="1"/>
  <c r="J180" i="1"/>
  <c r="I154" i="1"/>
  <c r="H154" i="1"/>
  <c r="I153" i="1"/>
  <c r="H121" i="1"/>
  <c r="H95" i="1"/>
  <c r="I111" i="1"/>
  <c r="H94" i="1"/>
  <c r="I74" i="1"/>
  <c r="C111" i="1"/>
  <c r="C127" i="1"/>
  <c r="B127" i="1"/>
  <c r="B111" i="1"/>
  <c r="B154" i="1"/>
  <c r="C154" i="1"/>
  <c r="C153" i="1"/>
  <c r="B193" i="1"/>
  <c r="D181" i="1"/>
  <c r="D180" i="1"/>
  <c r="B94" i="1"/>
  <c r="C74" i="1"/>
  <c r="Z209" i="4" l="1"/>
  <c r="Z218" i="4" s="1"/>
  <c r="N209" i="4"/>
  <c r="N218" i="4" s="1"/>
  <c r="R209" i="4"/>
  <c r="R218" i="4" s="1"/>
  <c r="R61" i="3"/>
  <c r="R64" i="3" s="1"/>
  <c r="N154" i="3"/>
  <c r="L63" i="3"/>
  <c r="F61" i="3"/>
  <c r="F64" i="3" s="1"/>
  <c r="X151" i="3"/>
  <c r="X161" i="3" s="1"/>
  <c r="X173" i="3" s="1"/>
  <c r="X196" i="3" s="1"/>
  <c r="X143" i="3"/>
  <c r="W113" i="3"/>
  <c r="X109" i="3"/>
  <c r="X144" i="3"/>
  <c r="X141" i="3"/>
  <c r="X65" i="3"/>
  <c r="T113" i="3"/>
  <c r="W129" i="3"/>
  <c r="W65" i="3"/>
  <c r="W111" i="3" s="1"/>
  <c r="W116" i="3" s="1"/>
  <c r="X121" i="3"/>
  <c r="X125" i="3" s="1"/>
  <c r="T125" i="3"/>
  <c r="T126" i="3" s="1"/>
  <c r="W151" i="3"/>
  <c r="W161" i="3" s="1"/>
  <c r="W173" i="3" s="1"/>
  <c r="W196" i="3" s="1"/>
  <c r="W143" i="3"/>
  <c r="V111" i="3"/>
  <c r="V116" i="3" s="1"/>
  <c r="V113" i="3"/>
  <c r="X110" i="3"/>
  <c r="U116" i="3"/>
  <c r="V65" i="3"/>
  <c r="V127" i="3" s="1"/>
  <c r="V132" i="3" s="1"/>
  <c r="V209" i="3" s="1"/>
  <c r="V218" i="3" s="1"/>
  <c r="T154" i="3"/>
  <c r="T139" i="3"/>
  <c r="X139" i="3" s="1"/>
  <c r="T63" i="3"/>
  <c r="U65" i="3"/>
  <c r="U127" i="3" s="1"/>
  <c r="U132" i="3" s="1"/>
  <c r="U209" i="3" s="1"/>
  <c r="U218" i="3" s="1"/>
  <c r="T146" i="3"/>
  <c r="X146" i="3" s="1"/>
  <c r="T164" i="3"/>
  <c r="T145" i="3"/>
  <c r="X145" i="3" s="1"/>
  <c r="T128" i="3"/>
  <c r="X128" i="3" s="1"/>
  <c r="T68" i="3"/>
  <c r="N121" i="3"/>
  <c r="R121" i="3" s="1"/>
  <c r="R65" i="3"/>
  <c r="N207" i="3"/>
  <c r="R207" i="3"/>
  <c r="R123" i="3"/>
  <c r="P116" i="3"/>
  <c r="O63" i="3"/>
  <c r="O113" i="3"/>
  <c r="AS113" i="3" s="1"/>
  <c r="O65" i="3"/>
  <c r="O111" i="3" s="1"/>
  <c r="O116" i="3"/>
  <c r="Q116" i="3"/>
  <c r="N113" i="3"/>
  <c r="Q151" i="3"/>
  <c r="Q161" i="3" s="1"/>
  <c r="Q173" i="3" s="1"/>
  <c r="Q196" i="3" s="1"/>
  <c r="Q143" i="3"/>
  <c r="R109" i="3"/>
  <c r="R143" i="3"/>
  <c r="R151" i="3"/>
  <c r="R161" i="3" s="1"/>
  <c r="R173" i="3" s="1"/>
  <c r="R196" i="3" s="1"/>
  <c r="N65" i="3"/>
  <c r="N111" i="3" s="1"/>
  <c r="R145" i="3"/>
  <c r="R139" i="3"/>
  <c r="R146" i="3"/>
  <c r="R168" i="3"/>
  <c r="N68" i="3"/>
  <c r="R148" i="3"/>
  <c r="R128" i="3"/>
  <c r="O82" i="3"/>
  <c r="Q113" i="3"/>
  <c r="N109" i="3"/>
  <c r="O125" i="3"/>
  <c r="Q127" i="3"/>
  <c r="Q132" i="3" s="1"/>
  <c r="Q209" i="3" s="1"/>
  <c r="Q218" i="3" s="1"/>
  <c r="AS154" i="3"/>
  <c r="R140" i="3"/>
  <c r="P82" i="3"/>
  <c r="P132" i="3"/>
  <c r="P154" i="3"/>
  <c r="P159" i="3" s="1"/>
  <c r="N129" i="3"/>
  <c r="N3" i="3"/>
  <c r="L216" i="3"/>
  <c r="H207" i="3"/>
  <c r="L123" i="3"/>
  <c r="H109" i="3"/>
  <c r="J194" i="3"/>
  <c r="J82" i="3"/>
  <c r="H65" i="3"/>
  <c r="H111" i="3" s="1"/>
  <c r="L61" i="3"/>
  <c r="L64" i="3" s="1"/>
  <c r="L65" i="3" s="1"/>
  <c r="L164" i="3"/>
  <c r="L143" i="3"/>
  <c r="L151" i="3"/>
  <c r="L161" i="3" s="1"/>
  <c r="L173" i="3" s="1"/>
  <c r="L196" i="3" s="1"/>
  <c r="K113" i="3"/>
  <c r="K65" i="3"/>
  <c r="K116" i="3" s="1"/>
  <c r="K151" i="3"/>
  <c r="K161" i="3" s="1"/>
  <c r="K173" i="3" s="1"/>
  <c r="K196" i="3" s="1"/>
  <c r="K143" i="3"/>
  <c r="L207" i="3"/>
  <c r="J116" i="3"/>
  <c r="J113" i="3"/>
  <c r="L113" i="3" s="1"/>
  <c r="L140" i="3"/>
  <c r="H125" i="3"/>
  <c r="H126" i="3" s="1"/>
  <c r="L119" i="3"/>
  <c r="L152" i="3"/>
  <c r="L96" i="3"/>
  <c r="L109" i="3" s="1"/>
  <c r="I65" i="3"/>
  <c r="J65" i="3"/>
  <c r="L180" i="3"/>
  <c r="L80" i="3"/>
  <c r="L148" i="3"/>
  <c r="L145" i="3"/>
  <c r="L139" i="3"/>
  <c r="H68" i="3"/>
  <c r="L168" i="3"/>
  <c r="J132" i="3"/>
  <c r="I113" i="3"/>
  <c r="L146" i="3"/>
  <c r="I82" i="3"/>
  <c r="L121" i="3"/>
  <c r="L174" i="3"/>
  <c r="B129" i="3"/>
  <c r="F129" i="3" s="1"/>
  <c r="F63" i="3"/>
  <c r="F65" i="3" s="1"/>
  <c r="F216" i="3"/>
  <c r="F145" i="3"/>
  <c r="C141" i="3"/>
  <c r="F109" i="3"/>
  <c r="B109" i="3"/>
  <c r="E151" i="3"/>
  <c r="E161" i="3" s="1"/>
  <c r="E173" i="3" s="1"/>
  <c r="E196" i="3" s="1"/>
  <c r="E143" i="3"/>
  <c r="F151" i="3"/>
  <c r="F161" i="3" s="1"/>
  <c r="F173" i="3" s="1"/>
  <c r="F196" i="3" s="1"/>
  <c r="F143" i="3"/>
  <c r="B125" i="3"/>
  <c r="B126" i="3" s="1"/>
  <c r="B65" i="3"/>
  <c r="B111" i="3" s="1"/>
  <c r="B113" i="3"/>
  <c r="C113" i="3"/>
  <c r="C65" i="3"/>
  <c r="D113" i="3"/>
  <c r="D65" i="3"/>
  <c r="E113" i="3"/>
  <c r="E65" i="3"/>
  <c r="E127" i="3" s="1"/>
  <c r="C159" i="3"/>
  <c r="F207" i="3"/>
  <c r="D132" i="3"/>
  <c r="F80" i="3"/>
  <c r="F152" i="3"/>
  <c r="F164" i="3"/>
  <c r="B207" i="3"/>
  <c r="D154" i="3"/>
  <c r="D159" i="3" s="1"/>
  <c r="B68" i="3"/>
  <c r="F121" i="3"/>
  <c r="F174" i="3"/>
  <c r="D109" i="3"/>
  <c r="AT110" i="3" s="1"/>
  <c r="B128" i="3"/>
  <c r="F128" i="3" s="1"/>
  <c r="C128" i="3"/>
  <c r="F153" i="3"/>
  <c r="F180" i="3"/>
  <c r="C82" i="3"/>
  <c r="F119" i="3"/>
  <c r="AR213" i="3"/>
  <c r="AS213" i="3"/>
  <c r="AT213" i="3"/>
  <c r="AU213" i="3"/>
  <c r="AR214" i="3"/>
  <c r="AS214" i="3"/>
  <c r="AT214" i="3"/>
  <c r="AU214" i="3"/>
  <c r="AR215" i="3"/>
  <c r="AS215" i="3"/>
  <c r="AT215" i="3"/>
  <c r="AU215" i="3"/>
  <c r="AS212" i="3"/>
  <c r="AT212" i="3"/>
  <c r="AU212" i="3"/>
  <c r="AR212" i="3"/>
  <c r="AR198" i="3"/>
  <c r="AS198" i="3"/>
  <c r="AT198" i="3"/>
  <c r="AU198" i="3"/>
  <c r="AR199" i="3"/>
  <c r="AS199" i="3"/>
  <c r="AT199" i="3"/>
  <c r="AU199" i="3"/>
  <c r="AR200" i="3"/>
  <c r="AS200" i="3"/>
  <c r="AT200" i="3"/>
  <c r="AU200" i="3"/>
  <c r="AR201" i="3"/>
  <c r="AS201" i="3"/>
  <c r="AT201" i="3"/>
  <c r="AU201" i="3"/>
  <c r="AR202" i="3"/>
  <c r="AS202" i="3"/>
  <c r="AT202" i="3"/>
  <c r="AU202" i="3"/>
  <c r="AR203" i="3"/>
  <c r="AS203" i="3"/>
  <c r="AT203" i="3"/>
  <c r="AU203" i="3"/>
  <c r="AR204" i="3"/>
  <c r="AS204" i="3"/>
  <c r="AT204" i="3"/>
  <c r="AU204" i="3"/>
  <c r="AR205" i="3"/>
  <c r="AS205" i="3"/>
  <c r="AT205" i="3"/>
  <c r="AU205" i="3"/>
  <c r="AR206" i="3"/>
  <c r="AS206" i="3"/>
  <c r="AT206" i="3"/>
  <c r="AU206" i="3"/>
  <c r="AS197" i="3"/>
  <c r="AT197" i="3"/>
  <c r="AU197" i="3"/>
  <c r="AR197" i="3"/>
  <c r="AR175" i="3"/>
  <c r="AS175" i="3"/>
  <c r="AT175" i="3"/>
  <c r="AU175" i="3"/>
  <c r="AR176" i="3"/>
  <c r="AS176" i="3"/>
  <c r="AT176" i="3"/>
  <c r="AU176" i="3"/>
  <c r="AR177" i="3"/>
  <c r="AS177" i="3"/>
  <c r="AT177" i="3"/>
  <c r="AU177" i="3"/>
  <c r="AS178" i="3"/>
  <c r="AT178" i="3"/>
  <c r="AU178" i="3"/>
  <c r="AR179" i="3"/>
  <c r="AS179" i="3"/>
  <c r="AT179" i="3"/>
  <c r="AU179" i="3"/>
  <c r="AR180" i="3"/>
  <c r="AS180" i="3"/>
  <c r="AT180" i="3"/>
  <c r="AU180" i="3"/>
  <c r="AR181" i="3"/>
  <c r="AS181" i="3"/>
  <c r="AT181" i="3"/>
  <c r="AU181" i="3"/>
  <c r="AR182" i="3"/>
  <c r="AS182" i="3"/>
  <c r="AT182" i="3"/>
  <c r="AU182" i="3"/>
  <c r="AR183" i="3"/>
  <c r="AS183" i="3"/>
  <c r="AT183" i="3"/>
  <c r="AU183" i="3"/>
  <c r="AR184" i="3"/>
  <c r="AS184" i="3"/>
  <c r="AT184" i="3"/>
  <c r="AU184" i="3"/>
  <c r="AR185" i="3"/>
  <c r="AS185" i="3"/>
  <c r="AT185" i="3"/>
  <c r="AU185" i="3"/>
  <c r="AR186" i="3"/>
  <c r="AS186" i="3"/>
  <c r="AT186" i="3"/>
  <c r="AU186" i="3"/>
  <c r="AR187" i="3"/>
  <c r="AS187" i="3"/>
  <c r="AT187" i="3"/>
  <c r="AU187" i="3"/>
  <c r="AR188" i="3"/>
  <c r="AS188" i="3"/>
  <c r="AT188" i="3"/>
  <c r="AU188" i="3"/>
  <c r="AR189" i="3"/>
  <c r="AS189" i="3"/>
  <c r="AT189" i="3"/>
  <c r="AU189" i="3"/>
  <c r="AR190" i="3"/>
  <c r="AS190" i="3"/>
  <c r="AT190" i="3"/>
  <c r="AU190" i="3"/>
  <c r="AR191" i="3"/>
  <c r="AS191" i="3"/>
  <c r="AT191" i="3"/>
  <c r="AU191" i="3"/>
  <c r="AR192" i="3"/>
  <c r="AS192" i="3"/>
  <c r="AT192" i="3"/>
  <c r="AU192" i="3"/>
  <c r="AS193" i="3"/>
  <c r="AT193" i="3"/>
  <c r="AU193" i="3"/>
  <c r="AS174" i="3"/>
  <c r="AT174" i="3"/>
  <c r="AU174" i="3"/>
  <c r="AR174" i="3"/>
  <c r="AR163" i="3"/>
  <c r="AS163" i="3"/>
  <c r="AT163" i="3"/>
  <c r="AU163" i="3"/>
  <c r="AS164" i="3"/>
  <c r="AT164" i="3"/>
  <c r="AU164" i="3"/>
  <c r="AR165" i="3"/>
  <c r="AS165" i="3"/>
  <c r="AT165" i="3"/>
  <c r="AU165" i="3"/>
  <c r="AR166" i="3"/>
  <c r="AS166" i="3"/>
  <c r="AT166" i="3"/>
  <c r="AU166" i="3"/>
  <c r="AR167" i="3"/>
  <c r="AS167" i="3"/>
  <c r="AT167" i="3"/>
  <c r="AU167" i="3"/>
  <c r="AS168" i="3"/>
  <c r="AT168" i="3"/>
  <c r="AU168" i="3"/>
  <c r="AR169" i="3"/>
  <c r="AS169" i="3"/>
  <c r="AT169" i="3"/>
  <c r="AU169" i="3"/>
  <c r="AS170" i="3"/>
  <c r="AT170" i="3"/>
  <c r="AU170" i="3"/>
  <c r="AS162" i="3"/>
  <c r="AT162" i="3"/>
  <c r="AU162" i="3"/>
  <c r="AR162" i="3"/>
  <c r="AR153" i="3"/>
  <c r="AT153" i="3"/>
  <c r="AU153" i="3"/>
  <c r="AU154" i="3"/>
  <c r="AR155" i="3"/>
  <c r="AS155" i="3"/>
  <c r="AT155" i="3"/>
  <c r="AU155" i="3"/>
  <c r="AS156" i="3"/>
  <c r="AT156" i="3"/>
  <c r="AU156" i="3"/>
  <c r="AS157" i="3"/>
  <c r="AT157" i="3"/>
  <c r="AU157" i="3"/>
  <c r="AR158" i="3"/>
  <c r="AS158" i="3"/>
  <c r="AT158" i="3"/>
  <c r="AU158" i="3"/>
  <c r="AS152" i="3"/>
  <c r="AT152" i="3"/>
  <c r="AU152" i="3"/>
  <c r="AR152" i="3"/>
  <c r="AS145" i="3"/>
  <c r="AT145" i="3"/>
  <c r="AU145" i="3"/>
  <c r="AS146" i="3"/>
  <c r="AT146" i="3"/>
  <c r="AU146" i="3"/>
  <c r="AR147" i="3"/>
  <c r="AS147" i="3"/>
  <c r="AT147" i="3"/>
  <c r="AU147" i="3"/>
  <c r="AS148" i="3"/>
  <c r="AT148" i="3"/>
  <c r="AU148" i="3"/>
  <c r="AS144" i="3"/>
  <c r="AT144" i="3"/>
  <c r="AU144" i="3"/>
  <c r="AR136" i="3"/>
  <c r="AS136" i="3"/>
  <c r="AT136" i="3"/>
  <c r="AU136" i="3"/>
  <c r="AR137" i="3"/>
  <c r="AS137" i="3"/>
  <c r="AT137" i="3"/>
  <c r="AU137" i="3"/>
  <c r="AS138" i="3"/>
  <c r="AT138" i="3"/>
  <c r="AU138" i="3"/>
  <c r="AS139" i="3"/>
  <c r="AT139" i="3"/>
  <c r="AU139" i="3"/>
  <c r="AR140" i="3"/>
  <c r="AS140" i="3"/>
  <c r="AT140" i="3"/>
  <c r="AU140" i="3"/>
  <c r="AS135" i="3"/>
  <c r="AT135" i="3"/>
  <c r="AU135" i="3"/>
  <c r="AR135" i="3"/>
  <c r="AS128" i="3"/>
  <c r="AT128" i="3"/>
  <c r="AU128" i="3"/>
  <c r="AR130" i="3"/>
  <c r="AS130" i="3"/>
  <c r="AT130" i="3"/>
  <c r="AU130" i="3"/>
  <c r="AR131" i="3"/>
  <c r="AS131" i="3"/>
  <c r="AT131" i="3"/>
  <c r="AU131" i="3"/>
  <c r="AT126" i="3"/>
  <c r="AU126" i="3"/>
  <c r="AR120" i="3"/>
  <c r="AS120" i="3"/>
  <c r="AT120" i="3"/>
  <c r="AU120" i="3"/>
  <c r="AS121" i="3"/>
  <c r="AT121" i="3"/>
  <c r="AU121" i="3"/>
  <c r="AR122" i="3"/>
  <c r="AS122" i="3"/>
  <c r="AT122" i="3"/>
  <c r="AU122" i="3"/>
  <c r="AR123" i="3"/>
  <c r="AS123" i="3"/>
  <c r="AT123" i="3"/>
  <c r="AU123" i="3"/>
  <c r="AR124" i="3"/>
  <c r="AS124" i="3"/>
  <c r="AT124" i="3"/>
  <c r="AU124" i="3"/>
  <c r="AS119" i="3"/>
  <c r="AT119" i="3"/>
  <c r="AU119" i="3"/>
  <c r="AR119" i="3"/>
  <c r="AR112" i="3"/>
  <c r="AS112" i="3"/>
  <c r="AT112" i="3"/>
  <c r="AU112" i="3"/>
  <c r="AU113" i="3"/>
  <c r="AR114" i="3"/>
  <c r="AS114" i="3"/>
  <c r="AT114" i="3"/>
  <c r="AU114" i="3"/>
  <c r="AR115" i="3"/>
  <c r="AS115" i="3"/>
  <c r="AT115" i="3"/>
  <c r="AU115" i="3"/>
  <c r="AS110" i="3"/>
  <c r="AU110" i="3"/>
  <c r="AR94" i="3"/>
  <c r="AS94" i="3"/>
  <c r="AT94" i="3"/>
  <c r="AU94" i="3"/>
  <c r="AR95" i="3"/>
  <c r="AS95" i="3"/>
  <c r="AT95" i="3"/>
  <c r="AU95" i="3"/>
  <c r="AR96" i="3"/>
  <c r="AS96" i="3"/>
  <c r="AT96" i="3"/>
  <c r="AU96" i="3"/>
  <c r="AR97" i="3"/>
  <c r="AS97" i="3"/>
  <c r="AT97" i="3"/>
  <c r="AU97" i="3"/>
  <c r="AR98" i="3"/>
  <c r="AS98" i="3"/>
  <c r="AT98" i="3"/>
  <c r="AU98" i="3"/>
  <c r="AR99" i="3"/>
  <c r="AS99" i="3"/>
  <c r="AT99" i="3"/>
  <c r="AU99" i="3"/>
  <c r="AR100" i="3"/>
  <c r="AS100" i="3"/>
  <c r="AT100" i="3"/>
  <c r="AU100" i="3"/>
  <c r="AR101" i="3"/>
  <c r="AS101" i="3"/>
  <c r="AT101" i="3"/>
  <c r="AU101" i="3"/>
  <c r="AR102" i="3"/>
  <c r="AS102" i="3"/>
  <c r="AT102" i="3"/>
  <c r="AU102" i="3"/>
  <c r="AR103" i="3"/>
  <c r="AS103" i="3"/>
  <c r="AT103" i="3"/>
  <c r="AU103" i="3"/>
  <c r="AR104" i="3"/>
  <c r="AS104" i="3"/>
  <c r="AT104" i="3"/>
  <c r="AU104" i="3"/>
  <c r="AR105" i="3"/>
  <c r="AS105" i="3"/>
  <c r="AT105" i="3"/>
  <c r="AU105" i="3"/>
  <c r="AR106" i="3"/>
  <c r="AS106" i="3"/>
  <c r="AT106" i="3"/>
  <c r="AU106" i="3"/>
  <c r="AR107" i="3"/>
  <c r="AS107" i="3"/>
  <c r="AT107" i="3"/>
  <c r="AU107" i="3"/>
  <c r="AR108" i="3"/>
  <c r="AS108" i="3"/>
  <c r="AT108" i="3"/>
  <c r="AU108" i="3"/>
  <c r="AS93" i="3"/>
  <c r="AT93" i="3"/>
  <c r="AU93" i="3"/>
  <c r="AR93" i="3"/>
  <c r="AR86" i="3"/>
  <c r="AS86" i="3"/>
  <c r="AT86" i="3"/>
  <c r="AU86" i="3"/>
  <c r="AR87" i="3"/>
  <c r="AS87" i="3"/>
  <c r="AT87" i="3"/>
  <c r="AU87" i="3"/>
  <c r="AS85" i="3"/>
  <c r="AT85" i="3"/>
  <c r="AU85" i="3"/>
  <c r="AR85" i="3"/>
  <c r="AS69" i="3"/>
  <c r="AT69" i="3"/>
  <c r="AU69" i="3"/>
  <c r="AS70" i="3"/>
  <c r="AT70" i="3"/>
  <c r="AU70" i="3"/>
  <c r="AS71" i="3"/>
  <c r="AT71" i="3"/>
  <c r="AU71" i="3"/>
  <c r="AR72" i="3"/>
  <c r="AS72" i="3"/>
  <c r="AT72" i="3"/>
  <c r="AU72" i="3"/>
  <c r="AR73" i="3"/>
  <c r="AS73" i="3"/>
  <c r="AT73" i="3"/>
  <c r="AU73" i="3"/>
  <c r="AR74" i="3"/>
  <c r="AS74" i="3"/>
  <c r="AT74" i="3"/>
  <c r="AU74" i="3"/>
  <c r="AR75" i="3"/>
  <c r="AS75" i="3"/>
  <c r="AT75" i="3"/>
  <c r="AU75" i="3"/>
  <c r="AR76" i="3"/>
  <c r="AS76" i="3"/>
  <c r="AT76" i="3"/>
  <c r="AU76" i="3"/>
  <c r="AR77" i="3"/>
  <c r="AS77" i="3"/>
  <c r="AT77" i="3"/>
  <c r="AU77" i="3"/>
  <c r="AR78" i="3"/>
  <c r="AS78" i="3"/>
  <c r="AT78" i="3"/>
  <c r="AU78" i="3"/>
  <c r="AR79" i="3"/>
  <c r="AS79" i="3"/>
  <c r="AT79" i="3"/>
  <c r="AU79" i="3"/>
  <c r="AR80" i="3"/>
  <c r="AS80" i="3"/>
  <c r="AT80" i="3"/>
  <c r="AU80" i="3"/>
  <c r="AR81" i="3"/>
  <c r="AS81" i="3"/>
  <c r="AT81" i="3"/>
  <c r="AU81" i="3"/>
  <c r="AS68" i="3"/>
  <c r="AT68" i="3"/>
  <c r="AU68" i="3"/>
  <c r="AR40" i="3"/>
  <c r="AS40" i="3"/>
  <c r="AT40" i="3"/>
  <c r="AU40" i="3"/>
  <c r="AR41" i="3"/>
  <c r="AS41" i="3"/>
  <c r="AT41" i="3"/>
  <c r="AU41" i="3"/>
  <c r="AR42" i="3"/>
  <c r="AS42" i="3"/>
  <c r="AT42" i="3"/>
  <c r="AU42" i="3"/>
  <c r="AR43" i="3"/>
  <c r="AS43" i="3"/>
  <c r="AT43" i="3"/>
  <c r="AU43" i="3"/>
  <c r="AR44" i="3"/>
  <c r="AS44" i="3"/>
  <c r="AT44" i="3"/>
  <c r="AU44" i="3"/>
  <c r="AR45" i="3"/>
  <c r="AS45" i="3"/>
  <c r="AT45" i="3"/>
  <c r="AU45" i="3"/>
  <c r="AR46" i="3"/>
  <c r="AS46" i="3"/>
  <c r="AT46" i="3"/>
  <c r="AU46" i="3"/>
  <c r="AR47" i="3"/>
  <c r="AS47" i="3"/>
  <c r="AT47" i="3"/>
  <c r="AU47" i="3"/>
  <c r="AR48" i="3"/>
  <c r="AS48" i="3"/>
  <c r="AT48" i="3"/>
  <c r="AU48" i="3"/>
  <c r="AR49" i="3"/>
  <c r="AS49" i="3"/>
  <c r="AT49" i="3"/>
  <c r="AU49" i="3"/>
  <c r="AR50" i="3"/>
  <c r="AS50" i="3"/>
  <c r="AT50" i="3"/>
  <c r="AU50" i="3"/>
  <c r="AR51" i="3"/>
  <c r="AS51" i="3"/>
  <c r="AT51" i="3"/>
  <c r="AU51" i="3"/>
  <c r="AR52" i="3"/>
  <c r="AS52" i="3"/>
  <c r="AT52" i="3"/>
  <c r="AU52" i="3"/>
  <c r="AR53" i="3"/>
  <c r="AS53" i="3"/>
  <c r="AT53" i="3"/>
  <c r="AU53" i="3"/>
  <c r="AR54" i="3"/>
  <c r="AS54" i="3"/>
  <c r="AT54" i="3"/>
  <c r="AU54" i="3"/>
  <c r="AR55" i="3"/>
  <c r="AS55" i="3"/>
  <c r="AT55" i="3"/>
  <c r="AU55" i="3"/>
  <c r="AR56" i="3"/>
  <c r="AS56" i="3"/>
  <c r="AT56" i="3"/>
  <c r="AU56" i="3"/>
  <c r="AR57" i="3"/>
  <c r="AS57" i="3"/>
  <c r="AT57" i="3"/>
  <c r="AU57" i="3"/>
  <c r="AR58" i="3"/>
  <c r="AS58" i="3"/>
  <c r="AT58" i="3"/>
  <c r="AU58" i="3"/>
  <c r="AR59" i="3"/>
  <c r="AS59" i="3"/>
  <c r="AT59" i="3"/>
  <c r="AU59" i="3"/>
  <c r="AR60" i="3"/>
  <c r="AS60" i="3"/>
  <c r="AT60" i="3"/>
  <c r="AU60" i="3"/>
  <c r="AS39" i="3"/>
  <c r="AT39" i="3"/>
  <c r="AU39" i="3"/>
  <c r="AR39" i="3"/>
  <c r="AR28" i="3"/>
  <c r="AS28" i="3"/>
  <c r="AT28" i="3"/>
  <c r="AU28" i="3"/>
  <c r="AR29" i="3"/>
  <c r="AS29" i="3"/>
  <c r="AT29" i="3"/>
  <c r="AU29" i="3"/>
  <c r="AR30" i="3"/>
  <c r="AS30" i="3"/>
  <c r="AT30" i="3"/>
  <c r="AU30" i="3"/>
  <c r="AR31" i="3"/>
  <c r="AS31" i="3"/>
  <c r="AT31" i="3"/>
  <c r="AU31" i="3"/>
  <c r="AR32" i="3"/>
  <c r="AS32" i="3"/>
  <c r="AT32" i="3"/>
  <c r="AU32" i="3"/>
  <c r="AR33" i="3"/>
  <c r="AS33" i="3"/>
  <c r="AT33" i="3"/>
  <c r="AU33" i="3"/>
  <c r="AR34" i="3"/>
  <c r="AS34" i="3"/>
  <c r="AT34" i="3"/>
  <c r="AU34" i="3"/>
  <c r="AR35" i="3"/>
  <c r="AS35" i="3"/>
  <c r="AT35" i="3"/>
  <c r="AU35" i="3"/>
  <c r="AS27" i="3"/>
  <c r="AT27" i="3"/>
  <c r="AU27" i="3"/>
  <c r="AR27" i="3"/>
  <c r="AR22" i="3"/>
  <c r="AS22" i="3"/>
  <c r="AT22" i="3"/>
  <c r="AU22" i="3"/>
  <c r="AR23" i="3"/>
  <c r="AS23" i="3"/>
  <c r="AT23" i="3"/>
  <c r="AU23" i="3"/>
  <c r="AR24" i="3"/>
  <c r="AS24" i="3"/>
  <c r="AT24" i="3"/>
  <c r="AU24" i="3"/>
  <c r="AS21" i="3"/>
  <c r="AT21" i="3"/>
  <c r="AU21" i="3"/>
  <c r="AR21" i="3"/>
  <c r="Z202" i="3"/>
  <c r="Z152" i="3"/>
  <c r="AA128" i="3"/>
  <c r="Z128" i="3"/>
  <c r="Z123" i="3"/>
  <c r="AA123" i="3"/>
  <c r="AA122" i="3"/>
  <c r="Z121" i="3"/>
  <c r="Z112" i="3"/>
  <c r="AB103" i="3"/>
  <c r="AB109" i="3"/>
  <c r="AB110" i="3" s="1"/>
  <c r="Z101" i="3"/>
  <c r="Z99" i="3"/>
  <c r="AD99" i="3"/>
  <c r="AB181" i="3"/>
  <c r="AB180" i="3"/>
  <c r="AB81" i="3"/>
  <c r="AB82" i="3" s="1"/>
  <c r="AB80" i="3"/>
  <c r="Z10" i="3"/>
  <c r="Z9" i="3"/>
  <c r="Z8" i="3"/>
  <c r="Z7" i="3"/>
  <c r="Z5" i="3"/>
  <c r="Z6" i="3"/>
  <c r="Z4" i="3"/>
  <c r="AD220" i="3"/>
  <c r="AC220" i="3"/>
  <c r="AB220" i="3"/>
  <c r="AA220" i="3"/>
  <c r="Z220" i="3"/>
  <c r="AC216" i="3"/>
  <c r="AB216" i="3"/>
  <c r="AA216" i="3"/>
  <c r="Z216" i="3"/>
  <c r="AD215" i="3"/>
  <c r="AD214" i="3"/>
  <c r="AD213" i="3"/>
  <c r="AD212" i="3"/>
  <c r="AD216" i="3" s="1"/>
  <c r="AC207" i="3"/>
  <c r="AB207" i="3"/>
  <c r="AA207" i="3"/>
  <c r="AD206" i="3"/>
  <c r="AD205" i="3"/>
  <c r="AD204" i="3"/>
  <c r="Z203" i="3"/>
  <c r="AD203" i="3" s="1"/>
  <c r="AD202" i="3"/>
  <c r="Z201" i="3"/>
  <c r="AD201" i="3" s="1"/>
  <c r="AD200" i="3"/>
  <c r="AD199" i="3"/>
  <c r="AD198" i="3"/>
  <c r="AD197" i="3"/>
  <c r="AC194" i="3"/>
  <c r="AB194" i="3"/>
  <c r="AA194" i="3"/>
  <c r="AD192" i="3"/>
  <c r="AD191" i="3"/>
  <c r="AD190" i="3"/>
  <c r="AD189" i="3"/>
  <c r="AD188" i="3"/>
  <c r="AD187" i="3"/>
  <c r="AD186" i="3"/>
  <c r="Z185" i="3"/>
  <c r="AD185" i="3" s="1"/>
  <c r="Z184" i="3"/>
  <c r="AD184" i="3" s="1"/>
  <c r="Z183" i="3"/>
  <c r="AD183" i="3" s="1"/>
  <c r="AD182" i="3"/>
  <c r="Z182" i="3"/>
  <c r="AD181" i="3"/>
  <c r="AD180" i="3"/>
  <c r="AD179" i="3"/>
  <c r="Z177" i="3"/>
  <c r="AD177" i="3" s="1"/>
  <c r="AD176" i="3"/>
  <c r="Z176" i="3"/>
  <c r="Z175" i="3"/>
  <c r="AD175" i="3" s="1"/>
  <c r="Z174" i="3"/>
  <c r="AD174" i="3" s="1"/>
  <c r="AC171" i="3"/>
  <c r="AB171" i="3"/>
  <c r="AA171" i="3"/>
  <c r="AD169" i="3"/>
  <c r="AD167" i="3"/>
  <c r="AD166" i="3"/>
  <c r="Z165" i="3"/>
  <c r="AD165" i="3" s="1"/>
  <c r="AD163" i="3"/>
  <c r="AD162" i="3"/>
  <c r="AC159" i="3"/>
  <c r="AB159" i="3"/>
  <c r="AD158" i="3"/>
  <c r="AD155" i="3"/>
  <c r="AC154" i="3"/>
  <c r="AB154" i="3"/>
  <c r="AD152" i="3"/>
  <c r="AC149" i="3"/>
  <c r="AB149" i="3"/>
  <c r="AA149" i="3"/>
  <c r="AD147" i="3"/>
  <c r="AC141" i="3"/>
  <c r="AB141" i="3"/>
  <c r="AA140" i="3"/>
  <c r="AA141" i="3" s="1"/>
  <c r="AD137" i="3"/>
  <c r="AD136" i="3"/>
  <c r="AD135" i="3"/>
  <c r="AD131" i="3"/>
  <c r="AD130" i="3"/>
  <c r="AC129" i="3"/>
  <c r="Z124" i="3"/>
  <c r="AD124" i="3" s="1"/>
  <c r="AC123" i="3"/>
  <c r="AC125" i="3" s="1"/>
  <c r="AC126" i="3" s="1"/>
  <c r="AB123" i="3"/>
  <c r="AB125" i="3" s="1"/>
  <c r="AB126" i="3" s="1"/>
  <c r="AA125" i="3"/>
  <c r="AA126" i="3" s="1"/>
  <c r="AD122" i="3"/>
  <c r="AD120" i="3"/>
  <c r="AD115" i="3"/>
  <c r="AD114" i="3"/>
  <c r="AC112" i="3"/>
  <c r="AB112" i="3"/>
  <c r="AA112" i="3"/>
  <c r="AC110" i="3"/>
  <c r="AA110" i="3"/>
  <c r="AC109" i="3"/>
  <c r="AA109" i="3"/>
  <c r="AD108" i="3"/>
  <c r="AD107" i="3"/>
  <c r="AD106" i="3"/>
  <c r="AD105" i="3"/>
  <c r="AD104" i="3"/>
  <c r="AD103" i="3"/>
  <c r="AD102" i="3"/>
  <c r="AD100" i="3"/>
  <c r="AD98" i="3"/>
  <c r="AD97" i="3"/>
  <c r="AD96" i="3"/>
  <c r="AD95" i="3"/>
  <c r="AD94" i="3"/>
  <c r="AD93" i="3"/>
  <c r="AD88" i="3"/>
  <c r="AC88" i="3"/>
  <c r="AB88" i="3"/>
  <c r="AA88" i="3"/>
  <c r="Z88" i="3"/>
  <c r="AC84" i="3"/>
  <c r="AC91" i="3" s="1"/>
  <c r="AC118" i="3" s="1"/>
  <c r="AC134" i="3" s="1"/>
  <c r="AC82" i="3"/>
  <c r="AD81" i="3"/>
  <c r="AD80" i="3"/>
  <c r="AD79" i="3"/>
  <c r="AD78" i="3"/>
  <c r="AD77" i="3"/>
  <c r="AD76" i="3"/>
  <c r="AA75" i="3"/>
  <c r="AD75" i="3" s="1"/>
  <c r="AA82" i="3"/>
  <c r="AD73" i="3"/>
  <c r="AD72" i="3"/>
  <c r="AD67" i="3"/>
  <c r="AD84" i="3" s="1"/>
  <c r="AD91" i="3" s="1"/>
  <c r="AD118" i="3" s="1"/>
  <c r="AD134" i="3" s="1"/>
  <c r="AC67" i="3"/>
  <c r="AC64" i="3"/>
  <c r="AC63" i="3"/>
  <c r="AB63" i="3"/>
  <c r="AB129" i="3" s="1"/>
  <c r="AC61" i="3"/>
  <c r="AB61" i="3"/>
  <c r="AB64" i="3" s="1"/>
  <c r="AA61" i="3"/>
  <c r="AA64" i="3" s="1"/>
  <c r="Z61" i="3"/>
  <c r="Z64" i="3" s="1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C38" i="3"/>
  <c r="AC36" i="3"/>
  <c r="AB36" i="3"/>
  <c r="AA36" i="3"/>
  <c r="AA154" i="3" s="1"/>
  <c r="Z36" i="3"/>
  <c r="AD35" i="3"/>
  <c r="AD34" i="3"/>
  <c r="AD33" i="3"/>
  <c r="AD32" i="3"/>
  <c r="AD31" i="3"/>
  <c r="AD30" i="3"/>
  <c r="AD29" i="3"/>
  <c r="AD28" i="3"/>
  <c r="AD27" i="3"/>
  <c r="AD26" i="3"/>
  <c r="AC26" i="3"/>
  <c r="AD25" i="3"/>
  <c r="AD24" i="3"/>
  <c r="AD23" i="3"/>
  <c r="AD22" i="3"/>
  <c r="AD21" i="3"/>
  <c r="AA17" i="3"/>
  <c r="AJ220" i="4"/>
  <c r="AI220" i="4"/>
  <c r="AH220" i="4"/>
  <c r="AG220" i="4"/>
  <c r="AF220" i="4"/>
  <c r="AJ216" i="4"/>
  <c r="AI216" i="4"/>
  <c r="AH216" i="4"/>
  <c r="AG216" i="4"/>
  <c r="AF216" i="4"/>
  <c r="AJ215" i="4"/>
  <c r="AJ214" i="4"/>
  <c r="AJ213" i="4"/>
  <c r="AJ212" i="4"/>
  <c r="F26" i="2" s="1"/>
  <c r="AI207" i="4"/>
  <c r="AH207" i="4"/>
  <c r="AG207" i="4"/>
  <c r="AF206" i="4"/>
  <c r="AJ206" i="4" s="1"/>
  <c r="AF205" i="4"/>
  <c r="AJ205" i="4" s="1"/>
  <c r="AJ204" i="4"/>
  <c r="AJ203" i="4"/>
  <c r="AF202" i="4"/>
  <c r="AJ202" i="4" s="1"/>
  <c r="AF201" i="4"/>
  <c r="AJ201" i="4" s="1"/>
  <c r="AF200" i="4"/>
  <c r="AJ200" i="4" s="1"/>
  <c r="AF199" i="4"/>
  <c r="AJ199" i="4" s="1"/>
  <c r="AJ198" i="4"/>
  <c r="AF197" i="4"/>
  <c r="AI194" i="4"/>
  <c r="AH194" i="4"/>
  <c r="AG194" i="4"/>
  <c r="AJ192" i="4"/>
  <c r="AJ191" i="4"/>
  <c r="AJ190" i="4"/>
  <c r="AJ189" i="4"/>
  <c r="AJ188" i="4"/>
  <c r="AJ187" i="4"/>
  <c r="AJ186" i="4"/>
  <c r="AF185" i="4"/>
  <c r="AJ185" i="4" s="1"/>
  <c r="AF184" i="4"/>
  <c r="AJ184" i="4" s="1"/>
  <c r="AF183" i="4"/>
  <c r="AJ183" i="4" s="1"/>
  <c r="AF182" i="4"/>
  <c r="AJ182" i="4" s="1"/>
  <c r="AH181" i="4"/>
  <c r="AJ181" i="4" s="1"/>
  <c r="AH180" i="4"/>
  <c r="AJ180" i="4" s="1"/>
  <c r="AJ179" i="4"/>
  <c r="AJ177" i="4"/>
  <c r="AF176" i="4"/>
  <c r="AJ176" i="4" s="1"/>
  <c r="AF175" i="4"/>
  <c r="AJ175" i="4" s="1"/>
  <c r="AF174" i="4"/>
  <c r="AI171" i="4"/>
  <c r="AH171" i="4"/>
  <c r="AG171" i="4"/>
  <c r="AJ169" i="4"/>
  <c r="AJ167" i="4"/>
  <c r="AJ166" i="4"/>
  <c r="AF165" i="4"/>
  <c r="AJ165" i="4" s="1"/>
  <c r="AJ163" i="4"/>
  <c r="AJ162" i="4"/>
  <c r="AJ158" i="4"/>
  <c r="AJ155" i="4"/>
  <c r="AJ152" i="4"/>
  <c r="AI149" i="4"/>
  <c r="AH149" i="4"/>
  <c r="AG149" i="4"/>
  <c r="AJ147" i="4"/>
  <c r="AI141" i="4"/>
  <c r="AH141" i="4"/>
  <c r="AG140" i="4"/>
  <c r="AJ140" i="4" s="1"/>
  <c r="AJ137" i="4"/>
  <c r="AJ136" i="4"/>
  <c r="AJ135" i="4"/>
  <c r="AF135" i="4"/>
  <c r="AJ131" i="4"/>
  <c r="AJ130" i="4"/>
  <c r="AF128" i="4"/>
  <c r="AH125" i="4"/>
  <c r="AH126" i="4" s="1"/>
  <c r="AF124" i="4"/>
  <c r="AF154" i="4" s="1"/>
  <c r="AI123" i="4"/>
  <c r="AI125" i="4" s="1"/>
  <c r="AI126" i="4" s="1"/>
  <c r="AG123" i="4"/>
  <c r="AF123" i="4"/>
  <c r="AG122" i="4"/>
  <c r="AJ122" i="4" s="1"/>
  <c r="AF121" i="4"/>
  <c r="AJ121" i="4" s="1"/>
  <c r="AJ120" i="4"/>
  <c r="AJ119" i="4"/>
  <c r="AJ115" i="4"/>
  <c r="AJ114" i="4"/>
  <c r="AI112" i="4"/>
  <c r="AH112" i="4"/>
  <c r="AG112" i="4"/>
  <c r="AF112" i="4"/>
  <c r="AI109" i="4"/>
  <c r="AI110" i="4" s="1"/>
  <c r="AH109" i="4"/>
  <c r="AH110" i="4" s="1"/>
  <c r="AG109" i="4"/>
  <c r="AG110" i="4" s="1"/>
  <c r="AJ108" i="4"/>
  <c r="AJ107" i="4"/>
  <c r="AJ106" i="4"/>
  <c r="AJ105" i="4"/>
  <c r="AJ104" i="4"/>
  <c r="AJ103" i="4"/>
  <c r="AJ102" i="4"/>
  <c r="AH101" i="4"/>
  <c r="AF101" i="4"/>
  <c r="AJ101" i="4" s="1"/>
  <c r="AJ100" i="4"/>
  <c r="AF99" i="4"/>
  <c r="AJ99" i="4" s="1"/>
  <c r="AF98" i="4"/>
  <c r="AJ98" i="4" s="1"/>
  <c r="AJ97" i="4"/>
  <c r="AJ96" i="4"/>
  <c r="AJ95" i="4"/>
  <c r="AF94" i="4"/>
  <c r="AF109" i="4" s="1"/>
  <c r="AF110" i="4" s="1"/>
  <c r="AJ93" i="4"/>
  <c r="AJ88" i="4"/>
  <c r="AI88" i="4"/>
  <c r="AH88" i="4"/>
  <c r="AG88" i="4"/>
  <c r="AF88" i="4"/>
  <c r="AI84" i="4"/>
  <c r="AI91" i="4" s="1"/>
  <c r="AI118" i="4" s="1"/>
  <c r="AI134" i="4" s="1"/>
  <c r="AI82" i="4"/>
  <c r="AG82" i="4"/>
  <c r="AH81" i="4"/>
  <c r="AJ81" i="4" s="1"/>
  <c r="AH80" i="4"/>
  <c r="AH82" i="4" s="1"/>
  <c r="AJ79" i="4"/>
  <c r="AJ78" i="4"/>
  <c r="AJ77" i="4"/>
  <c r="AJ76" i="4"/>
  <c r="AG75" i="4"/>
  <c r="AJ75" i="4" s="1"/>
  <c r="AJ74" i="4"/>
  <c r="AJ73" i="4"/>
  <c r="AJ72" i="4"/>
  <c r="AJ67" i="4"/>
  <c r="AJ84" i="4" s="1"/>
  <c r="AJ91" i="4" s="1"/>
  <c r="AJ118" i="4" s="1"/>
  <c r="AJ134" i="4" s="1"/>
  <c r="AI67" i="4"/>
  <c r="AF63" i="4"/>
  <c r="AF129" i="4" s="1"/>
  <c r="AI61" i="4"/>
  <c r="AI64" i="4" s="1"/>
  <c r="AH61" i="4"/>
  <c r="AH64" i="4" s="1"/>
  <c r="AG61" i="4"/>
  <c r="AG64" i="4" s="1"/>
  <c r="AF61" i="4"/>
  <c r="AF64" i="4" s="1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I38" i="4"/>
  <c r="AI36" i="4"/>
  <c r="AI63" i="4" s="1"/>
  <c r="AI129" i="4" s="1"/>
  <c r="AH36" i="4"/>
  <c r="AH63" i="4" s="1"/>
  <c r="AH129" i="4" s="1"/>
  <c r="AG36" i="4"/>
  <c r="AG63" i="4" s="1"/>
  <c r="AG129" i="4" s="1"/>
  <c r="AF36" i="4"/>
  <c r="AJ35" i="4"/>
  <c r="AJ34" i="4"/>
  <c r="AJ33" i="4"/>
  <c r="AJ32" i="4"/>
  <c r="AJ31" i="4"/>
  <c r="AJ30" i="4"/>
  <c r="AJ29" i="4"/>
  <c r="AJ28" i="4"/>
  <c r="AJ27" i="4"/>
  <c r="AJ26" i="4"/>
  <c r="AI26" i="4"/>
  <c r="AJ25" i="4"/>
  <c r="AJ24" i="4"/>
  <c r="AJ23" i="4"/>
  <c r="AJ22" i="4"/>
  <c r="AJ21" i="4"/>
  <c r="AG17" i="4"/>
  <c r="AF9" i="4"/>
  <c r="AJ220" i="9"/>
  <c r="AI220" i="9"/>
  <c r="AH220" i="9"/>
  <c r="AG220" i="9"/>
  <c r="AF220" i="9"/>
  <c r="AI216" i="9"/>
  <c r="AH216" i="9"/>
  <c r="AG216" i="9"/>
  <c r="AF216" i="9"/>
  <c r="AJ215" i="9"/>
  <c r="AJ214" i="9"/>
  <c r="AJ213" i="9"/>
  <c r="AJ212" i="9"/>
  <c r="AI207" i="9"/>
  <c r="AH207" i="9"/>
  <c r="AG207" i="9"/>
  <c r="AF206" i="9"/>
  <c r="AJ206" i="9" s="1"/>
  <c r="AF205" i="9"/>
  <c r="AJ205" i="9" s="1"/>
  <c r="AJ204" i="9"/>
  <c r="AJ203" i="9"/>
  <c r="AF202" i="9"/>
  <c r="AJ202" i="9" s="1"/>
  <c r="AF201" i="9"/>
  <c r="AJ201" i="9" s="1"/>
  <c r="AF200" i="9"/>
  <c r="AJ200" i="9" s="1"/>
  <c r="AF199" i="9"/>
  <c r="AJ198" i="9"/>
  <c r="AF197" i="9"/>
  <c r="AJ197" i="9" s="1"/>
  <c r="AI194" i="9"/>
  <c r="AG194" i="9"/>
  <c r="AJ193" i="9"/>
  <c r="AJ192" i="9"/>
  <c r="AJ191" i="9"/>
  <c r="AJ190" i="9"/>
  <c r="AJ189" i="9"/>
  <c r="AJ188" i="9"/>
  <c r="AJ187" i="9"/>
  <c r="AJ186" i="9"/>
  <c r="AF185" i="9"/>
  <c r="AJ185" i="9" s="1"/>
  <c r="AF184" i="9"/>
  <c r="AJ184" i="9" s="1"/>
  <c r="AF183" i="9"/>
  <c r="AJ183" i="9" s="1"/>
  <c r="AF182" i="9"/>
  <c r="AJ182" i="9" s="1"/>
  <c r="AH181" i="9"/>
  <c r="AJ181" i="9" s="1"/>
  <c r="AH180" i="9"/>
  <c r="AJ180" i="9" s="1"/>
  <c r="AJ179" i="9"/>
  <c r="AJ177" i="9"/>
  <c r="AF177" i="9"/>
  <c r="AF176" i="9"/>
  <c r="AJ176" i="9" s="1"/>
  <c r="AJ175" i="9"/>
  <c r="AF175" i="9"/>
  <c r="AF174" i="9"/>
  <c r="AJ174" i="9" s="1"/>
  <c r="AI171" i="9"/>
  <c r="AH171" i="9"/>
  <c r="AG171" i="9"/>
  <c r="AJ169" i="9"/>
  <c r="AJ167" i="9"/>
  <c r="AJ166" i="9"/>
  <c r="AF165" i="9"/>
  <c r="AJ165" i="9" s="1"/>
  <c r="AJ163" i="9"/>
  <c r="AJ162" i="9"/>
  <c r="AJ158" i="9"/>
  <c r="AJ155" i="9"/>
  <c r="AJ152" i="9"/>
  <c r="AI149" i="9"/>
  <c r="AH149" i="9"/>
  <c r="AG149" i="9"/>
  <c r="AJ147" i="9"/>
  <c r="AI141" i="9"/>
  <c r="AH141" i="9"/>
  <c r="AJ140" i="9"/>
  <c r="AG140" i="9"/>
  <c r="AG141" i="9" s="1"/>
  <c r="AJ137" i="9"/>
  <c r="AJ136" i="9"/>
  <c r="AF135" i="9"/>
  <c r="AJ135" i="9" s="1"/>
  <c r="AJ131" i="9"/>
  <c r="AJ130" i="9"/>
  <c r="AH125" i="9"/>
  <c r="AH132" i="9" s="1"/>
  <c r="AF124" i="9"/>
  <c r="AJ124" i="9" s="1"/>
  <c r="AI123" i="9"/>
  <c r="AI125" i="9" s="1"/>
  <c r="AI126" i="9" s="1"/>
  <c r="AG123" i="9"/>
  <c r="AF123" i="9"/>
  <c r="AG122" i="9"/>
  <c r="AJ122" i="9" s="1"/>
  <c r="AF120" i="9"/>
  <c r="AJ120" i="9" s="1"/>
  <c r="AJ119" i="9"/>
  <c r="AJ115" i="9"/>
  <c r="AJ114" i="9"/>
  <c r="AI112" i="9"/>
  <c r="AH112" i="9"/>
  <c r="AG112" i="9"/>
  <c r="AF112" i="9"/>
  <c r="AI109" i="9"/>
  <c r="AG109" i="9"/>
  <c r="AJ108" i="9"/>
  <c r="AJ107" i="9"/>
  <c r="AJ106" i="9"/>
  <c r="AJ105" i="9"/>
  <c r="AJ104" i="9"/>
  <c r="AJ103" i="9"/>
  <c r="AJ102" i="9"/>
  <c r="AH101" i="9"/>
  <c r="AH109" i="9" s="1"/>
  <c r="AF101" i="9"/>
  <c r="AJ100" i="9"/>
  <c r="AF99" i="9"/>
  <c r="AJ99" i="9" s="1"/>
  <c r="AF98" i="9"/>
  <c r="AJ98" i="9" s="1"/>
  <c r="AJ97" i="9"/>
  <c r="AJ96" i="9"/>
  <c r="AJ95" i="9"/>
  <c r="AF94" i="9"/>
  <c r="AJ94" i="9" s="1"/>
  <c r="AF93" i="9"/>
  <c r="AJ93" i="9" s="1"/>
  <c r="AJ91" i="9"/>
  <c r="AJ118" i="9" s="1"/>
  <c r="AJ134" i="9" s="1"/>
  <c r="AJ143" i="9" s="1"/>
  <c r="AJ88" i="9"/>
  <c r="AI88" i="9"/>
  <c r="AH88" i="9"/>
  <c r="AG88" i="9"/>
  <c r="AF88" i="9"/>
  <c r="AI82" i="9"/>
  <c r="AG82" i="9"/>
  <c r="AH81" i="9"/>
  <c r="AJ81" i="9" s="1"/>
  <c r="AH80" i="9"/>
  <c r="AJ80" i="9" s="1"/>
  <c r="AJ79" i="9"/>
  <c r="AJ78" i="9"/>
  <c r="AJ77" i="9"/>
  <c r="AJ76" i="9"/>
  <c r="AG75" i="9"/>
  <c r="AJ75" i="9" s="1"/>
  <c r="AJ74" i="9"/>
  <c r="AJ73" i="9"/>
  <c r="AJ72" i="9"/>
  <c r="AJ67" i="9"/>
  <c r="AJ84" i="9" s="1"/>
  <c r="AI67" i="9"/>
  <c r="AI84" i="9" s="1"/>
  <c r="AI91" i="9" s="1"/>
  <c r="AI118" i="9" s="1"/>
  <c r="AI134" i="9" s="1"/>
  <c r="AI64" i="9"/>
  <c r="AI113" i="9" s="1"/>
  <c r="AH64" i="9"/>
  <c r="AH113" i="9" s="1"/>
  <c r="AG64" i="9"/>
  <c r="AG113" i="9" s="1"/>
  <c r="AF64" i="9"/>
  <c r="AI61" i="9"/>
  <c r="AH61" i="9"/>
  <c r="AG61" i="9"/>
  <c r="AF61" i="9"/>
  <c r="AJ60" i="9"/>
  <c r="AJ59" i="9"/>
  <c r="AJ58" i="9"/>
  <c r="AJ57" i="9"/>
  <c r="AJ56" i="9"/>
  <c r="AJ55" i="9"/>
  <c r="AJ54" i="9"/>
  <c r="AJ53" i="9"/>
  <c r="AJ52" i="9"/>
  <c r="AJ51" i="9"/>
  <c r="AJ50" i="9"/>
  <c r="AJ49" i="9"/>
  <c r="AJ48" i="9"/>
  <c r="AJ47" i="9"/>
  <c r="AJ46" i="9"/>
  <c r="AJ45" i="9"/>
  <c r="AJ44" i="9"/>
  <c r="AJ43" i="9"/>
  <c r="AJ42" i="9"/>
  <c r="AJ41" i="9"/>
  <c r="AJ40" i="9"/>
  <c r="AJ39" i="9"/>
  <c r="AJ38" i="9"/>
  <c r="AI38" i="9"/>
  <c r="AI36" i="9"/>
  <c r="AI154" i="9" s="1"/>
  <c r="AI159" i="9" s="1"/>
  <c r="AH36" i="9"/>
  <c r="AH154" i="9" s="1"/>
  <c r="AH159" i="9" s="1"/>
  <c r="AG36" i="9"/>
  <c r="AG128" i="9" s="1"/>
  <c r="AF36" i="9"/>
  <c r="AF128" i="9" s="1"/>
  <c r="AJ35" i="9"/>
  <c r="AJ34" i="9"/>
  <c r="AJ33" i="9"/>
  <c r="AJ32" i="9"/>
  <c r="AJ31" i="9"/>
  <c r="AJ30" i="9"/>
  <c r="AJ29" i="9"/>
  <c r="AJ28" i="9"/>
  <c r="AJ27" i="9"/>
  <c r="AJ26" i="9"/>
  <c r="AI26" i="9"/>
  <c r="AJ25" i="9"/>
  <c r="AJ24" i="9"/>
  <c r="AJ23" i="9"/>
  <c r="AJ22" i="9"/>
  <c r="AJ21" i="9"/>
  <c r="AG17" i="9"/>
  <c r="AF7" i="9"/>
  <c r="AF17" i="9"/>
  <c r="AJ220" i="10"/>
  <c r="AI220" i="10"/>
  <c r="AH220" i="10"/>
  <c r="AG220" i="10"/>
  <c r="AF220" i="10"/>
  <c r="AI216" i="10"/>
  <c r="AH216" i="10"/>
  <c r="AG216" i="10"/>
  <c r="AF216" i="10"/>
  <c r="AJ215" i="10"/>
  <c r="AJ214" i="10"/>
  <c r="AJ213" i="10"/>
  <c r="AJ216" i="10" s="1"/>
  <c r="AJ212" i="10"/>
  <c r="AI207" i="10"/>
  <c r="AH207" i="10"/>
  <c r="AG207" i="10"/>
  <c r="AF206" i="10"/>
  <c r="AJ206" i="10" s="1"/>
  <c r="AF205" i="10"/>
  <c r="AJ205" i="10" s="1"/>
  <c r="AJ204" i="10"/>
  <c r="AJ203" i="10"/>
  <c r="AF202" i="10"/>
  <c r="AJ202" i="10" s="1"/>
  <c r="AF201" i="10"/>
  <c r="AJ201" i="10" s="1"/>
  <c r="AJ200" i="10"/>
  <c r="AF200" i="10"/>
  <c r="AF199" i="10"/>
  <c r="AJ199" i="10" s="1"/>
  <c r="AJ198" i="10"/>
  <c r="AF197" i="10"/>
  <c r="AI194" i="10"/>
  <c r="AG194" i="10"/>
  <c r="AJ192" i="10"/>
  <c r="AJ191" i="10"/>
  <c r="AJ190" i="10"/>
  <c r="AJ189" i="10"/>
  <c r="AJ188" i="10"/>
  <c r="AJ187" i="10"/>
  <c r="AJ186" i="10"/>
  <c r="AF185" i="10"/>
  <c r="AJ185" i="10" s="1"/>
  <c r="AF184" i="10"/>
  <c r="AJ184" i="10" s="1"/>
  <c r="AF183" i="10"/>
  <c r="AJ183" i="10" s="1"/>
  <c r="AF182" i="10"/>
  <c r="AJ182" i="10" s="1"/>
  <c r="AH181" i="10"/>
  <c r="AH180" i="10"/>
  <c r="AJ180" i="10" s="1"/>
  <c r="AJ179" i="10"/>
  <c r="AF177" i="10"/>
  <c r="AJ177" i="10" s="1"/>
  <c r="AF176" i="10"/>
  <c r="AJ176" i="10" s="1"/>
  <c r="AF175" i="10"/>
  <c r="AJ175" i="10" s="1"/>
  <c r="AJ174" i="10"/>
  <c r="AF174" i="10"/>
  <c r="AI171" i="10"/>
  <c r="AH171" i="10"/>
  <c r="AG171" i="10"/>
  <c r="AJ169" i="10"/>
  <c r="AJ167" i="10"/>
  <c r="AJ166" i="10"/>
  <c r="AF165" i="10"/>
  <c r="AJ165" i="10" s="1"/>
  <c r="AJ163" i="10"/>
  <c r="AJ162" i="10"/>
  <c r="AJ158" i="10"/>
  <c r="AJ155" i="10"/>
  <c r="AJ152" i="10"/>
  <c r="AI149" i="10"/>
  <c r="AH149" i="10"/>
  <c r="AG149" i="10"/>
  <c r="AJ147" i="10"/>
  <c r="AI141" i="10"/>
  <c r="AH141" i="10"/>
  <c r="AG140" i="10"/>
  <c r="AJ140" i="10" s="1"/>
  <c r="AJ137" i="10"/>
  <c r="AJ136" i="10"/>
  <c r="AF135" i="10"/>
  <c r="AJ135" i="10" s="1"/>
  <c r="AJ131" i="10"/>
  <c r="AJ130" i="10"/>
  <c r="AH125" i="10"/>
  <c r="AH126" i="10" s="1"/>
  <c r="AH132" i="10" s="1"/>
  <c r="AF124" i="10"/>
  <c r="AF154" i="10" s="1"/>
  <c r="AI123" i="10"/>
  <c r="AI125" i="10" s="1"/>
  <c r="AI126" i="10" s="1"/>
  <c r="AG123" i="10"/>
  <c r="AG125" i="10" s="1"/>
  <c r="AF123" i="10"/>
  <c r="AG122" i="10"/>
  <c r="AJ122" i="10" s="1"/>
  <c r="AF120" i="10"/>
  <c r="AJ120" i="10" s="1"/>
  <c r="AF119" i="10"/>
  <c r="AJ115" i="10"/>
  <c r="AJ114" i="10"/>
  <c r="AI112" i="10"/>
  <c r="AH112" i="10"/>
  <c r="AG112" i="10"/>
  <c r="AF112" i="10"/>
  <c r="AI109" i="10"/>
  <c r="AI110" i="10" s="1"/>
  <c r="AG109" i="10"/>
  <c r="AJ108" i="10"/>
  <c r="AJ107" i="10"/>
  <c r="AJ106" i="10"/>
  <c r="AJ105" i="10"/>
  <c r="AJ104" i="10"/>
  <c r="AJ103" i="10"/>
  <c r="AJ102" i="10"/>
  <c r="AH101" i="10"/>
  <c r="AH109" i="10" s="1"/>
  <c r="AF101" i="10"/>
  <c r="AJ100" i="10"/>
  <c r="AF99" i="10"/>
  <c r="AJ99" i="10" s="1"/>
  <c r="AF98" i="10"/>
  <c r="AJ98" i="10" s="1"/>
  <c r="AJ97" i="10"/>
  <c r="AF96" i="10"/>
  <c r="AJ96" i="10" s="1"/>
  <c r="AF95" i="10"/>
  <c r="AJ95" i="10" s="1"/>
  <c r="AF94" i="10"/>
  <c r="AJ94" i="10" s="1"/>
  <c r="AF93" i="10"/>
  <c r="AJ93" i="10" s="1"/>
  <c r="AJ88" i="10"/>
  <c r="AI88" i="10"/>
  <c r="AH88" i="10"/>
  <c r="AG88" i="10"/>
  <c r="AF88" i="10"/>
  <c r="AI82" i="10"/>
  <c r="AH81" i="10"/>
  <c r="AJ81" i="10" s="1"/>
  <c r="AH80" i="10"/>
  <c r="AJ80" i="10" s="1"/>
  <c r="AJ79" i="10"/>
  <c r="AJ78" i="10"/>
  <c r="AJ77" i="10"/>
  <c r="AJ76" i="10"/>
  <c r="AG75" i="10"/>
  <c r="AJ75" i="10" s="1"/>
  <c r="AG74" i="10"/>
  <c r="AJ74" i="10" s="1"/>
  <c r="AJ73" i="10"/>
  <c r="AJ72" i="10"/>
  <c r="AJ67" i="10"/>
  <c r="AJ84" i="10" s="1"/>
  <c r="AJ91" i="10" s="1"/>
  <c r="AJ118" i="10" s="1"/>
  <c r="AJ134" i="10" s="1"/>
  <c r="AI67" i="10"/>
  <c r="AI84" i="10" s="1"/>
  <c r="AI91" i="10" s="1"/>
  <c r="AI118" i="10" s="1"/>
  <c r="AI134" i="10" s="1"/>
  <c r="AG64" i="10"/>
  <c r="AG113" i="10" s="1"/>
  <c r="AI63" i="10"/>
  <c r="AI129" i="10" s="1"/>
  <c r="AF63" i="10"/>
  <c r="AI61" i="10"/>
  <c r="AI64" i="10" s="1"/>
  <c r="AI113" i="10" s="1"/>
  <c r="AH61" i="10"/>
  <c r="AH64" i="10" s="1"/>
  <c r="AH113" i="10" s="1"/>
  <c r="AG61" i="10"/>
  <c r="AF61" i="10"/>
  <c r="AF64" i="10" s="1"/>
  <c r="AJ60" i="10"/>
  <c r="AJ59" i="10"/>
  <c r="AJ58" i="10"/>
  <c r="AJ57" i="10"/>
  <c r="AJ56" i="10"/>
  <c r="AJ55" i="10"/>
  <c r="AJ54" i="10"/>
  <c r="AJ53" i="10"/>
  <c r="AJ52" i="10"/>
  <c r="AJ51" i="10"/>
  <c r="AJ50" i="10"/>
  <c r="AJ49" i="10"/>
  <c r="AJ48" i="10"/>
  <c r="AJ47" i="10"/>
  <c r="AJ46" i="10"/>
  <c r="AJ45" i="10"/>
  <c r="AJ44" i="10"/>
  <c r="AJ43" i="10"/>
  <c r="AJ42" i="10"/>
  <c r="AJ41" i="10"/>
  <c r="AJ40" i="10"/>
  <c r="AJ39" i="10"/>
  <c r="AJ38" i="10"/>
  <c r="AI38" i="10"/>
  <c r="AI36" i="10"/>
  <c r="AI128" i="10" s="1"/>
  <c r="AH36" i="10"/>
  <c r="AH154" i="10" s="1"/>
  <c r="AH159" i="10" s="1"/>
  <c r="AG36" i="10"/>
  <c r="AG63" i="10" s="1"/>
  <c r="AF36" i="10"/>
  <c r="AF121" i="10" s="1"/>
  <c r="AJ121" i="10" s="1"/>
  <c r="AJ35" i="10"/>
  <c r="AJ34" i="10"/>
  <c r="AJ33" i="10"/>
  <c r="AJ32" i="10"/>
  <c r="AJ31" i="10"/>
  <c r="AJ30" i="10"/>
  <c r="AJ29" i="10"/>
  <c r="AJ28" i="10"/>
  <c r="AJ27" i="10"/>
  <c r="AJ26" i="10"/>
  <c r="AI26" i="10"/>
  <c r="AJ25" i="10"/>
  <c r="AJ24" i="10"/>
  <c r="AJ23" i="10"/>
  <c r="AJ22" i="10"/>
  <c r="AJ21" i="10"/>
  <c r="AG17" i="10"/>
  <c r="AF7" i="10"/>
  <c r="AF6" i="10"/>
  <c r="AF5" i="10"/>
  <c r="AJ220" i="15"/>
  <c r="AI220" i="15"/>
  <c r="AH220" i="15"/>
  <c r="AG220" i="15"/>
  <c r="AF220" i="15"/>
  <c r="AI216" i="15"/>
  <c r="AH216" i="15"/>
  <c r="AG216" i="15"/>
  <c r="AF216" i="15"/>
  <c r="AJ215" i="15"/>
  <c r="AJ214" i="15"/>
  <c r="AJ213" i="15"/>
  <c r="AJ212" i="15"/>
  <c r="AJ216" i="15" s="1"/>
  <c r="AI207" i="15"/>
  <c r="AH207" i="15"/>
  <c r="AG207" i="15"/>
  <c r="AF206" i="15"/>
  <c r="AJ206" i="15" s="1"/>
  <c r="AF205" i="15"/>
  <c r="AJ205" i="15" s="1"/>
  <c r="AJ204" i="15"/>
  <c r="AJ203" i="15"/>
  <c r="AF202" i="15"/>
  <c r="AJ202" i="15" s="1"/>
  <c r="AF201" i="15"/>
  <c r="AJ201" i="15" s="1"/>
  <c r="AF200" i="15"/>
  <c r="AJ200" i="15" s="1"/>
  <c r="AF199" i="15"/>
  <c r="AJ199" i="15" s="1"/>
  <c r="AJ198" i="15"/>
  <c r="AF197" i="15"/>
  <c r="AI194" i="15"/>
  <c r="AG194" i="15"/>
  <c r="AJ193" i="15"/>
  <c r="AJ192" i="15"/>
  <c r="AJ191" i="15"/>
  <c r="AJ190" i="15"/>
  <c r="AJ189" i="15"/>
  <c r="AJ188" i="15"/>
  <c r="AJ187" i="15"/>
  <c r="AJ186" i="15"/>
  <c r="AF185" i="15"/>
  <c r="AJ185" i="15" s="1"/>
  <c r="AF184" i="15"/>
  <c r="AJ184" i="15" s="1"/>
  <c r="AF183" i="15"/>
  <c r="AJ183" i="15" s="1"/>
  <c r="AF182" i="15"/>
  <c r="AJ182" i="15" s="1"/>
  <c r="AH181" i="15"/>
  <c r="AH180" i="15"/>
  <c r="AJ180" i="15" s="1"/>
  <c r="AJ179" i="15"/>
  <c r="AF177" i="15"/>
  <c r="AJ177" i="15" s="1"/>
  <c r="AF176" i="15"/>
  <c r="AJ176" i="15" s="1"/>
  <c r="AF175" i="15"/>
  <c r="AJ175" i="15" s="1"/>
  <c r="AF174" i="15"/>
  <c r="AJ174" i="15" s="1"/>
  <c r="AI171" i="15"/>
  <c r="AH171" i="15"/>
  <c r="AG171" i="15"/>
  <c r="AJ169" i="15"/>
  <c r="AJ167" i="15"/>
  <c r="AJ166" i="15"/>
  <c r="AF165" i="15"/>
  <c r="AJ165" i="15" s="1"/>
  <c r="AJ163" i="15"/>
  <c r="AJ162" i="15"/>
  <c r="AJ158" i="15"/>
  <c r="AJ155" i="15"/>
  <c r="AJ152" i="15"/>
  <c r="AI149" i="15"/>
  <c r="AH149" i="15"/>
  <c r="AG149" i="15"/>
  <c r="AJ147" i="15"/>
  <c r="AI141" i="15"/>
  <c r="AH141" i="15"/>
  <c r="AG141" i="15"/>
  <c r="AG140" i="15"/>
  <c r="AJ140" i="15" s="1"/>
  <c r="AJ137" i="15"/>
  <c r="AJ136" i="15"/>
  <c r="AF135" i="15"/>
  <c r="AJ135" i="15" s="1"/>
  <c r="AJ131" i="15"/>
  <c r="AJ130" i="15"/>
  <c r="AH125" i="15"/>
  <c r="AH132" i="15" s="1"/>
  <c r="AF124" i="15"/>
  <c r="AJ124" i="15" s="1"/>
  <c r="AI123" i="15"/>
  <c r="AI125" i="15" s="1"/>
  <c r="AG123" i="15"/>
  <c r="AG125" i="15" s="1"/>
  <c r="AF123" i="15"/>
  <c r="AG122" i="15"/>
  <c r="AJ122" i="15" s="1"/>
  <c r="AF120" i="15"/>
  <c r="AJ120" i="15" s="1"/>
  <c r="AF119" i="15"/>
  <c r="AJ115" i="15"/>
  <c r="AJ114" i="15"/>
  <c r="AI112" i="15"/>
  <c r="AH112" i="15"/>
  <c r="AG112" i="15"/>
  <c r="AF112" i="15"/>
  <c r="AI109" i="15"/>
  <c r="AI110" i="15" s="1"/>
  <c r="AH109" i="15"/>
  <c r="AG109" i="15"/>
  <c r="AJ108" i="15"/>
  <c r="AJ107" i="15"/>
  <c r="AJ106" i="15"/>
  <c r="AJ105" i="15"/>
  <c r="AJ104" i="15"/>
  <c r="AJ103" i="15"/>
  <c r="AJ102" i="15"/>
  <c r="AH101" i="15"/>
  <c r="AF101" i="15"/>
  <c r="AJ101" i="15" s="1"/>
  <c r="AJ100" i="15"/>
  <c r="AF99" i="15"/>
  <c r="AJ99" i="15" s="1"/>
  <c r="AF98" i="15"/>
  <c r="AJ98" i="15" s="1"/>
  <c r="AJ97" i="15"/>
  <c r="AF96" i="15"/>
  <c r="AJ96" i="15" s="1"/>
  <c r="AF95" i="15"/>
  <c r="AJ95" i="15" s="1"/>
  <c r="AF94" i="15"/>
  <c r="AJ94" i="15" s="1"/>
  <c r="AF93" i="15"/>
  <c r="AJ88" i="15"/>
  <c r="AI88" i="15"/>
  <c r="AH88" i="15"/>
  <c r="AG88" i="15"/>
  <c r="AF88" i="15"/>
  <c r="AI82" i="15"/>
  <c r="AH81" i="15"/>
  <c r="AJ81" i="15" s="1"/>
  <c r="AH80" i="15"/>
  <c r="AJ80" i="15" s="1"/>
  <c r="AJ79" i="15"/>
  <c r="AJ78" i="15"/>
  <c r="AJ77" i="15"/>
  <c r="AJ76" i="15"/>
  <c r="AG75" i="15"/>
  <c r="AJ75" i="15" s="1"/>
  <c r="AG74" i="15"/>
  <c r="AJ74" i="15" s="1"/>
  <c r="AJ73" i="15"/>
  <c r="AJ72" i="15"/>
  <c r="AJ67" i="15"/>
  <c r="AJ84" i="15" s="1"/>
  <c r="AJ91" i="15" s="1"/>
  <c r="AJ118" i="15" s="1"/>
  <c r="AJ134" i="15" s="1"/>
  <c r="AI67" i="15"/>
  <c r="AI84" i="15" s="1"/>
  <c r="AI91" i="15" s="1"/>
  <c r="AI118" i="15" s="1"/>
  <c r="AI134" i="15" s="1"/>
  <c r="AH64" i="15"/>
  <c r="AH113" i="15" s="1"/>
  <c r="AG64" i="15"/>
  <c r="AG113" i="15" s="1"/>
  <c r="AF64" i="15"/>
  <c r="AF113" i="15" s="1"/>
  <c r="AI63" i="15"/>
  <c r="AI129" i="15" s="1"/>
  <c r="AI61" i="15"/>
  <c r="AI64" i="15" s="1"/>
  <c r="AH61" i="15"/>
  <c r="AG61" i="15"/>
  <c r="AF61" i="15"/>
  <c r="AJ60" i="15"/>
  <c r="AJ59" i="15"/>
  <c r="AJ58" i="15"/>
  <c r="AJ57" i="15"/>
  <c r="AJ56" i="15"/>
  <c r="AJ55" i="15"/>
  <c r="AJ54" i="15"/>
  <c r="AJ53" i="15"/>
  <c r="AJ52" i="15"/>
  <c r="AJ51" i="15"/>
  <c r="AJ50" i="15"/>
  <c r="AJ49" i="15"/>
  <c r="AJ48" i="15"/>
  <c r="AJ47" i="15"/>
  <c r="AJ46" i="15"/>
  <c r="AJ45" i="15"/>
  <c r="AJ44" i="15"/>
  <c r="AJ43" i="15"/>
  <c r="AJ42" i="15"/>
  <c r="AJ41" i="15"/>
  <c r="AJ40" i="15"/>
  <c r="AJ39" i="15"/>
  <c r="AJ38" i="15"/>
  <c r="AI38" i="15"/>
  <c r="AI36" i="15"/>
  <c r="AI128" i="15" s="1"/>
  <c r="AH36" i="15"/>
  <c r="AH63" i="15" s="1"/>
  <c r="AH65" i="15" s="1"/>
  <c r="AG36" i="15"/>
  <c r="AG154" i="15" s="1"/>
  <c r="AF36" i="15"/>
  <c r="AF154" i="15" s="1"/>
  <c r="AJ35" i="15"/>
  <c r="AJ34" i="15"/>
  <c r="AJ33" i="15"/>
  <c r="AJ32" i="15"/>
  <c r="AJ31" i="15"/>
  <c r="AJ30" i="15"/>
  <c r="AJ29" i="15"/>
  <c r="AJ28" i="15"/>
  <c r="AJ27" i="15"/>
  <c r="AJ26" i="15"/>
  <c r="AI26" i="15"/>
  <c r="AJ25" i="15"/>
  <c r="AJ24" i="15"/>
  <c r="AJ23" i="15"/>
  <c r="AJ22" i="15"/>
  <c r="AJ21" i="15"/>
  <c r="AG17" i="15"/>
  <c r="AF17" i="15"/>
  <c r="AF164" i="15" s="1"/>
  <c r="AF3" i="15"/>
  <c r="AD220" i="17"/>
  <c r="AC220" i="17"/>
  <c r="AB220" i="17"/>
  <c r="AA220" i="17"/>
  <c r="Z220" i="17"/>
  <c r="AD216" i="17"/>
  <c r="AC216" i="17"/>
  <c r="AB216" i="17"/>
  <c r="AA216" i="17"/>
  <c r="Z216" i="17"/>
  <c r="AD215" i="17"/>
  <c r="AD214" i="17"/>
  <c r="AD213" i="17"/>
  <c r="AD212" i="17"/>
  <c r="AC207" i="17"/>
  <c r="AB207" i="17"/>
  <c r="AA207" i="17"/>
  <c r="Z206" i="17"/>
  <c r="AD206" i="17" s="1"/>
  <c r="Z205" i="17"/>
  <c r="AD205" i="17" s="1"/>
  <c r="AD204" i="17"/>
  <c r="Z203" i="17"/>
  <c r="AD203" i="17" s="1"/>
  <c r="Z202" i="17"/>
  <c r="AD202" i="17" s="1"/>
  <c r="Z201" i="17"/>
  <c r="AD201" i="17" s="1"/>
  <c r="AD200" i="17"/>
  <c r="Z200" i="17"/>
  <c r="Z199" i="17"/>
  <c r="AD199" i="17" s="1"/>
  <c r="AD198" i="17"/>
  <c r="Z197" i="17"/>
  <c r="AD197" i="17" s="1"/>
  <c r="AC194" i="17"/>
  <c r="AB194" i="17"/>
  <c r="AA194" i="17"/>
  <c r="AD192" i="17"/>
  <c r="AD191" i="17"/>
  <c r="AD190" i="17"/>
  <c r="AD189" i="17"/>
  <c r="AD188" i="17"/>
  <c r="AD187" i="17"/>
  <c r="AD186" i="17"/>
  <c r="AD185" i="17"/>
  <c r="Z185" i="17"/>
  <c r="Z184" i="17"/>
  <c r="AD184" i="17" s="1"/>
  <c r="Z183" i="17"/>
  <c r="AD183" i="17" s="1"/>
  <c r="Z182" i="17"/>
  <c r="AD182" i="17" s="1"/>
  <c r="AD181" i="17"/>
  <c r="AB181" i="17"/>
  <c r="AD180" i="17"/>
  <c r="AB180" i="17"/>
  <c r="AD179" i="17"/>
  <c r="Z179" i="17"/>
  <c r="Z177" i="17"/>
  <c r="AD177" i="17" s="1"/>
  <c r="Z176" i="17"/>
  <c r="AD176" i="17" s="1"/>
  <c r="AD175" i="17"/>
  <c r="Z175" i="17"/>
  <c r="AD174" i="17"/>
  <c r="Z174" i="17"/>
  <c r="AC171" i="17"/>
  <c r="AB171" i="17"/>
  <c r="AA171" i="17"/>
  <c r="AD169" i="17"/>
  <c r="AD167" i="17"/>
  <c r="Z167" i="17"/>
  <c r="Z166" i="17"/>
  <c r="AD166" i="17" s="1"/>
  <c r="Z165" i="17"/>
  <c r="AD165" i="17" s="1"/>
  <c r="AD163" i="17"/>
  <c r="AD162" i="17"/>
  <c r="AD158" i="17"/>
  <c r="AD155" i="17"/>
  <c r="AD152" i="17"/>
  <c r="AC149" i="17"/>
  <c r="AB149" i="17"/>
  <c r="AA149" i="17"/>
  <c r="AD147" i="17"/>
  <c r="AC141" i="17"/>
  <c r="AB141" i="17"/>
  <c r="AA140" i="17"/>
  <c r="AD140" i="17" s="1"/>
  <c r="AD137" i="17"/>
  <c r="AD136" i="17"/>
  <c r="Z135" i="17"/>
  <c r="AD135" i="17" s="1"/>
  <c r="AD131" i="17"/>
  <c r="AD130" i="17"/>
  <c r="AC128" i="17"/>
  <c r="AB128" i="17"/>
  <c r="AD128" i="17" s="1"/>
  <c r="AA128" i="17"/>
  <c r="Z128" i="17"/>
  <c r="AB126" i="17"/>
  <c r="AB125" i="17"/>
  <c r="AD124" i="17"/>
  <c r="Z124" i="17"/>
  <c r="AC123" i="17"/>
  <c r="AC125" i="17" s="1"/>
  <c r="AC126" i="17" s="1"/>
  <c r="AA123" i="17"/>
  <c r="Z123" i="17"/>
  <c r="AD123" i="17" s="1"/>
  <c r="AA122" i="17"/>
  <c r="AA125" i="17" s="1"/>
  <c r="AA126" i="17" s="1"/>
  <c r="Z121" i="17"/>
  <c r="AD121" i="17" s="1"/>
  <c r="Z120" i="17"/>
  <c r="AD120" i="17" s="1"/>
  <c r="AD119" i="17"/>
  <c r="Z119" i="17"/>
  <c r="AD115" i="17"/>
  <c r="AD114" i="17"/>
  <c r="AC112" i="17"/>
  <c r="AB112" i="17"/>
  <c r="AA112" i="17"/>
  <c r="AD112" i="17" s="1"/>
  <c r="Z112" i="17"/>
  <c r="AC110" i="17"/>
  <c r="AB110" i="17"/>
  <c r="AA110" i="17"/>
  <c r="AC109" i="17"/>
  <c r="AB109" i="17"/>
  <c r="AA109" i="17"/>
  <c r="AD108" i="17"/>
  <c r="AD107" i="17"/>
  <c r="AD106" i="17"/>
  <c r="AD105" i="17"/>
  <c r="AD104" i="17"/>
  <c r="AD103" i="17"/>
  <c r="AD102" i="17"/>
  <c r="AD101" i="17"/>
  <c r="AB101" i="17"/>
  <c r="Z101" i="17"/>
  <c r="AD100" i="17"/>
  <c r="AD99" i="17"/>
  <c r="Z99" i="17"/>
  <c r="Z98" i="17"/>
  <c r="AD98" i="17" s="1"/>
  <c r="AD97" i="17"/>
  <c r="Z96" i="17"/>
  <c r="AD96" i="17" s="1"/>
  <c r="Z95" i="17"/>
  <c r="AD95" i="17" s="1"/>
  <c r="Z94" i="17"/>
  <c r="AD94" i="17" s="1"/>
  <c r="Z93" i="17"/>
  <c r="AD93" i="17" s="1"/>
  <c r="AD88" i="17"/>
  <c r="AC88" i="17"/>
  <c r="AB88" i="17"/>
  <c r="AA88" i="17"/>
  <c r="Z88" i="17"/>
  <c r="AD84" i="17"/>
  <c r="AD91" i="17" s="1"/>
  <c r="AD118" i="17" s="1"/>
  <c r="AD134" i="17" s="1"/>
  <c r="AC84" i="17"/>
  <c r="AC91" i="17" s="1"/>
  <c r="AC118" i="17" s="1"/>
  <c r="AC134" i="17" s="1"/>
  <c r="AC82" i="17"/>
  <c r="AB81" i="17"/>
  <c r="AD81" i="17" s="1"/>
  <c r="AB80" i="17"/>
  <c r="AD80" i="17" s="1"/>
  <c r="AD79" i="17"/>
  <c r="AD78" i="17"/>
  <c r="AD77" i="17"/>
  <c r="AD76" i="17"/>
  <c r="AA75" i="17"/>
  <c r="AD75" i="17" s="1"/>
  <c r="AD74" i="17"/>
  <c r="AA74" i="17"/>
  <c r="AD73" i="17"/>
  <c r="AD72" i="17"/>
  <c r="Z71" i="17"/>
  <c r="AD71" i="17" s="1"/>
  <c r="Z70" i="17"/>
  <c r="AD70" i="17" s="1"/>
  <c r="AD67" i="17"/>
  <c r="AC67" i="17"/>
  <c r="AA63" i="17"/>
  <c r="Z63" i="17"/>
  <c r="Z129" i="17" s="1"/>
  <c r="AC61" i="17"/>
  <c r="AC64" i="17" s="1"/>
  <c r="AB61" i="17"/>
  <c r="AB64" i="17" s="1"/>
  <c r="AA61" i="17"/>
  <c r="AA64" i="17" s="1"/>
  <c r="Z61" i="17"/>
  <c r="Z64" i="17" s="1"/>
  <c r="AD60" i="17"/>
  <c r="AD59" i="17"/>
  <c r="AD58" i="17"/>
  <c r="AD57" i="17"/>
  <c r="AD56" i="17"/>
  <c r="AD55" i="17"/>
  <c r="AD54" i="17"/>
  <c r="AD53" i="17"/>
  <c r="AD52" i="17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61" i="17" s="1"/>
  <c r="AD64" i="17" s="1"/>
  <c r="AD38" i="17"/>
  <c r="AC38" i="17"/>
  <c r="AC36" i="17"/>
  <c r="AC154" i="17" s="1"/>
  <c r="AC159" i="17" s="1"/>
  <c r="AB36" i="17"/>
  <c r="AB154" i="17" s="1"/>
  <c r="AB159" i="17" s="1"/>
  <c r="AA36" i="17"/>
  <c r="AA154" i="17" s="1"/>
  <c r="Z36" i="17"/>
  <c r="Z154" i="17" s="1"/>
  <c r="AD35" i="17"/>
  <c r="AD34" i="17"/>
  <c r="AD33" i="17"/>
  <c r="AD32" i="17"/>
  <c r="AD31" i="17"/>
  <c r="AD30" i="17"/>
  <c r="AD29" i="17"/>
  <c r="AD28" i="17"/>
  <c r="AD27" i="17"/>
  <c r="AD36" i="17" s="1"/>
  <c r="AD63" i="17" s="1"/>
  <c r="AD65" i="17" s="1"/>
  <c r="AD26" i="17"/>
  <c r="AC26" i="17"/>
  <c r="AD25" i="17"/>
  <c r="AD24" i="17"/>
  <c r="AD23" i="17"/>
  <c r="AD22" i="17"/>
  <c r="AD21" i="17"/>
  <c r="AA17" i="17"/>
  <c r="Z7" i="17"/>
  <c r="Z6" i="17"/>
  <c r="Z17" i="17" s="1"/>
  <c r="Z5" i="17"/>
  <c r="Z2" i="17"/>
  <c r="Z69" i="17" s="1"/>
  <c r="AD69" i="17" s="1"/>
  <c r="I35" i="2"/>
  <c r="I30" i="2"/>
  <c r="I29" i="2"/>
  <c r="I28" i="2"/>
  <c r="I27" i="2"/>
  <c r="I26" i="2"/>
  <c r="I22" i="2"/>
  <c r="D35" i="2"/>
  <c r="G26" i="2"/>
  <c r="AH116" i="15" l="1"/>
  <c r="AJ36" i="15"/>
  <c r="AJ63" i="15" s="1"/>
  <c r="AF207" i="15"/>
  <c r="AJ112" i="15"/>
  <c r="AJ123" i="15"/>
  <c r="AH194" i="15"/>
  <c r="AH154" i="15"/>
  <c r="AH159" i="15" s="1"/>
  <c r="AI154" i="15"/>
  <c r="AI159" i="15" s="1"/>
  <c r="AJ61" i="15"/>
  <c r="AJ64" i="15" s="1"/>
  <c r="AF109" i="15"/>
  <c r="AJ110" i="15" s="1"/>
  <c r="AH209" i="15"/>
  <c r="AF113" i="10"/>
  <c r="AF65" i="10"/>
  <c r="AF111" i="10" s="1"/>
  <c r="AF127" i="10"/>
  <c r="AF128" i="10"/>
  <c r="AH194" i="10"/>
  <c r="AH82" i="10"/>
  <c r="AF125" i="10"/>
  <c r="AF126" i="10" s="1"/>
  <c r="AJ126" i="10" s="1"/>
  <c r="AF129" i="10"/>
  <c r="AJ36" i="10"/>
  <c r="AJ63" i="10" s="1"/>
  <c r="AF207" i="10"/>
  <c r="AF3" i="10"/>
  <c r="AI154" i="10"/>
  <c r="AI159" i="10" s="1"/>
  <c r="AJ61" i="10"/>
  <c r="AJ64" i="10" s="1"/>
  <c r="AJ109" i="10"/>
  <c r="AG141" i="10"/>
  <c r="I31" i="2"/>
  <c r="AJ101" i="10"/>
  <c r="AJ112" i="10"/>
  <c r="AJ123" i="10"/>
  <c r="AH82" i="9"/>
  <c r="AH194" i="9"/>
  <c r="AF3" i="9"/>
  <c r="AL3" i="11" s="1"/>
  <c r="AJ36" i="9"/>
  <c r="AJ63" i="9" s="1"/>
  <c r="AJ65" i="9" s="1"/>
  <c r="AJ123" i="9"/>
  <c r="AF109" i="9"/>
  <c r="AJ101" i="9"/>
  <c r="AJ109" i="9" s="1"/>
  <c r="AF207" i="9"/>
  <c r="AG154" i="4"/>
  <c r="AH154" i="4"/>
  <c r="AH159" i="4" s="1"/>
  <c r="AJ112" i="4"/>
  <c r="AI154" i="4"/>
  <c r="AI159" i="4" s="1"/>
  <c r="AJ36" i="4"/>
  <c r="AJ63" i="4" s="1"/>
  <c r="AG141" i="4"/>
  <c r="AF17" i="4"/>
  <c r="AF164" i="4" s="1"/>
  <c r="AJ61" i="4"/>
  <c r="AJ64" i="4" s="1"/>
  <c r="AJ65" i="4" s="1"/>
  <c r="AG128" i="4"/>
  <c r="AJ128" i="4" s="1"/>
  <c r="AJ129" i="4"/>
  <c r="AG125" i="4"/>
  <c r="AG126" i="4" s="1"/>
  <c r="N125" i="3"/>
  <c r="N126" i="3" s="1"/>
  <c r="AR126" i="3" s="1"/>
  <c r="H127" i="3"/>
  <c r="X164" i="3"/>
  <c r="T129" i="3"/>
  <c r="X129" i="3" s="1"/>
  <c r="T65" i="3"/>
  <c r="T111" i="3" s="1"/>
  <c r="T127" i="3"/>
  <c r="W127" i="3"/>
  <c r="W132" i="3" s="1"/>
  <c r="W209" i="3" s="1"/>
  <c r="W218" i="3" s="1"/>
  <c r="X154" i="3"/>
  <c r="T82" i="3"/>
  <c r="T156" i="3"/>
  <c r="X156" i="3" s="1"/>
  <c r="T170" i="3"/>
  <c r="X170" i="3" s="1"/>
  <c r="X68" i="3"/>
  <c r="X82" i="3" s="1"/>
  <c r="T157" i="3"/>
  <c r="X157" i="3" s="1"/>
  <c r="T193" i="3"/>
  <c r="X113" i="3"/>
  <c r="X126" i="3"/>
  <c r="T149" i="3"/>
  <c r="X149" i="3"/>
  <c r="T141" i="3"/>
  <c r="AT127" i="3"/>
  <c r="AR129" i="3"/>
  <c r="AR154" i="3"/>
  <c r="AS153" i="3"/>
  <c r="AR178" i="3"/>
  <c r="AR138" i="3"/>
  <c r="AS126" i="3"/>
  <c r="O126" i="3"/>
  <c r="O129" i="3"/>
  <c r="O127" i="3"/>
  <c r="R113" i="3"/>
  <c r="R125" i="3"/>
  <c r="P209" i="3"/>
  <c r="R111" i="3"/>
  <c r="R178" i="3"/>
  <c r="AT82" i="3"/>
  <c r="P218" i="3"/>
  <c r="R110" i="3"/>
  <c r="N116" i="3"/>
  <c r="AR113" i="3"/>
  <c r="R154" i="3"/>
  <c r="R164" i="3"/>
  <c r="N141" i="3"/>
  <c r="R138" i="3"/>
  <c r="R141" i="3" s="1"/>
  <c r="N82" i="3"/>
  <c r="N170" i="3"/>
  <c r="R170" i="3" s="1"/>
  <c r="R193" i="3"/>
  <c r="R68" i="3"/>
  <c r="R82" i="3" s="1"/>
  <c r="R157" i="3"/>
  <c r="R144" i="3"/>
  <c r="R149" i="3" s="1"/>
  <c r="N149" i="3"/>
  <c r="R153" i="3"/>
  <c r="O159" i="3"/>
  <c r="H132" i="3"/>
  <c r="L111" i="3"/>
  <c r="I116" i="3"/>
  <c r="K132" i="3"/>
  <c r="K209" i="3" s="1"/>
  <c r="K218" i="3" s="1"/>
  <c r="I132" i="3"/>
  <c r="L138" i="3"/>
  <c r="L141" i="3" s="1"/>
  <c r="H141" i="3"/>
  <c r="H156" i="3"/>
  <c r="L170" i="3"/>
  <c r="L171" i="3" s="1"/>
  <c r="L68" i="3"/>
  <c r="L82" i="3" s="1"/>
  <c r="H82" i="3"/>
  <c r="H157" i="3"/>
  <c r="L157" i="3" s="1"/>
  <c r="AR168" i="3"/>
  <c r="L144" i="3"/>
  <c r="L149" i="3" s="1"/>
  <c r="H149" i="3"/>
  <c r="I159" i="3"/>
  <c r="L153" i="3"/>
  <c r="AT113" i="3"/>
  <c r="AR139" i="3"/>
  <c r="AR144" i="3"/>
  <c r="L125" i="3"/>
  <c r="AU82" i="3"/>
  <c r="H116" i="3"/>
  <c r="L110" i="3"/>
  <c r="L126" i="3"/>
  <c r="AR110" i="3"/>
  <c r="J209" i="3"/>
  <c r="J218" i="3" s="1"/>
  <c r="B127" i="3"/>
  <c r="B132" i="3" s="1"/>
  <c r="B116" i="3"/>
  <c r="AS82" i="3"/>
  <c r="C132" i="3"/>
  <c r="E132" i="3"/>
  <c r="E111" i="3"/>
  <c r="F113" i="3"/>
  <c r="F126" i="3"/>
  <c r="F110" i="3"/>
  <c r="F125" i="3"/>
  <c r="AR121" i="3"/>
  <c r="AR128" i="3"/>
  <c r="F154" i="3"/>
  <c r="F138" i="3"/>
  <c r="F141" i="3" s="1"/>
  <c r="B141" i="3"/>
  <c r="B157" i="3"/>
  <c r="B156" i="3"/>
  <c r="B82" i="3"/>
  <c r="B170" i="3"/>
  <c r="F68" i="3"/>
  <c r="F82" i="3" s="1"/>
  <c r="AT154" i="3"/>
  <c r="AT111" i="3"/>
  <c r="B149" i="3"/>
  <c r="F144" i="3"/>
  <c r="F149" i="3" s="1"/>
  <c r="AD112" i="3"/>
  <c r="AD61" i="3"/>
  <c r="AD64" i="3" s="1"/>
  <c r="AD128" i="3"/>
  <c r="AA63" i="3"/>
  <c r="AA129" i="3" s="1"/>
  <c r="Z63" i="3"/>
  <c r="Z129" i="3" s="1"/>
  <c r="AD129" i="3" s="1"/>
  <c r="AD36" i="3"/>
  <c r="AD63" i="3" s="1"/>
  <c r="Z3" i="3"/>
  <c r="AB113" i="3"/>
  <c r="AB65" i="3"/>
  <c r="AB111" i="3" s="1"/>
  <c r="AB116" i="3" s="1"/>
  <c r="AD143" i="3"/>
  <c r="AD151" i="3"/>
  <c r="AD161" i="3" s="1"/>
  <c r="AD173" i="3" s="1"/>
  <c r="AD196" i="3" s="1"/>
  <c r="AD109" i="3"/>
  <c r="AC151" i="3"/>
  <c r="AC161" i="3" s="1"/>
  <c r="AC173" i="3" s="1"/>
  <c r="AC196" i="3" s="1"/>
  <c r="AC143" i="3"/>
  <c r="AA113" i="3"/>
  <c r="AA116" i="3" s="1"/>
  <c r="AA65" i="3"/>
  <c r="AC113" i="3"/>
  <c r="AC65" i="3"/>
  <c r="AC127" i="3" s="1"/>
  <c r="AC132" i="3" s="1"/>
  <c r="Z17" i="3"/>
  <c r="Z65" i="3"/>
  <c r="Z111" i="3" s="1"/>
  <c r="AD123" i="3"/>
  <c r="AD140" i="3"/>
  <c r="AD119" i="3"/>
  <c r="AA127" i="3"/>
  <c r="AA132" i="3" s="1"/>
  <c r="Z113" i="3"/>
  <c r="AD207" i="3"/>
  <c r="AD101" i="3"/>
  <c r="Z154" i="3"/>
  <c r="Z207" i="3"/>
  <c r="Z109" i="3"/>
  <c r="Z110" i="3" s="1"/>
  <c r="AD121" i="3"/>
  <c r="AD74" i="3"/>
  <c r="AJ110" i="4"/>
  <c r="AJ154" i="4"/>
  <c r="AG113" i="4"/>
  <c r="AG116" i="4" s="1"/>
  <c r="AG65" i="4"/>
  <c r="AH17" i="4"/>
  <c r="AH65" i="4"/>
  <c r="AH127" i="4" s="1"/>
  <c r="AH132" i="4" s="1"/>
  <c r="AH113" i="4"/>
  <c r="AI151" i="4"/>
  <c r="AI161" i="4" s="1"/>
  <c r="AI173" i="4" s="1"/>
  <c r="AI196" i="4" s="1"/>
  <c r="AI143" i="4"/>
  <c r="AJ151" i="4"/>
  <c r="AJ161" i="4" s="1"/>
  <c r="AJ173" i="4" s="1"/>
  <c r="AJ196" i="4" s="1"/>
  <c r="AJ143" i="4"/>
  <c r="AF65" i="4"/>
  <c r="AF127" i="4" s="1"/>
  <c r="AF113" i="4"/>
  <c r="AF111" i="4"/>
  <c r="AJ123" i="4"/>
  <c r="AJ125" i="4" s="1"/>
  <c r="AF207" i="4"/>
  <c r="AJ197" i="4"/>
  <c r="AJ207" i="4" s="1"/>
  <c r="AJ124" i="4"/>
  <c r="AF125" i="4"/>
  <c r="AF126" i="4" s="1"/>
  <c r="AF3" i="4"/>
  <c r="AK3" i="11" s="1"/>
  <c r="AI65" i="4"/>
  <c r="AI127" i="4" s="1"/>
  <c r="AI132" i="4" s="1"/>
  <c r="AJ80" i="4"/>
  <c r="AJ94" i="4"/>
  <c r="AJ109" i="4" s="1"/>
  <c r="AI113" i="4"/>
  <c r="AJ174" i="4"/>
  <c r="AF138" i="9"/>
  <c r="AR138" i="9" s="1"/>
  <c r="AF168" i="9"/>
  <c r="AF148" i="9"/>
  <c r="AF178" i="9"/>
  <c r="AF146" i="9"/>
  <c r="AF139" i="9"/>
  <c r="AG153" i="9"/>
  <c r="AS153" i="9" s="1"/>
  <c r="AF145" i="9"/>
  <c r="AR164" i="9"/>
  <c r="AF144" i="9"/>
  <c r="AR144" i="9" s="1"/>
  <c r="AI143" i="9"/>
  <c r="AI151" i="9"/>
  <c r="AI161" i="9" s="1"/>
  <c r="AI173" i="9" s="1"/>
  <c r="AI196" i="9" s="1"/>
  <c r="AJ110" i="9"/>
  <c r="AF121" i="9"/>
  <c r="AJ199" i="9"/>
  <c r="AJ207" i="9" s="1"/>
  <c r="AJ151" i="9"/>
  <c r="AJ161" i="9" s="1"/>
  <c r="AJ173" i="9" s="1"/>
  <c r="AJ196" i="9" s="1"/>
  <c r="AJ61" i="9"/>
  <c r="AJ64" i="9" s="1"/>
  <c r="AI128" i="9"/>
  <c r="AJ128" i="9" s="1"/>
  <c r="AJ216" i="9"/>
  <c r="AF63" i="9"/>
  <c r="AF154" i="9"/>
  <c r="AH63" i="9"/>
  <c r="AH65" i="9" s="1"/>
  <c r="AH116" i="9" s="1"/>
  <c r="AH209" i="9" s="1"/>
  <c r="AH218" i="9" s="1"/>
  <c r="AG125" i="9"/>
  <c r="AF113" i="9"/>
  <c r="AJ113" i="9" s="1"/>
  <c r="AG63" i="9"/>
  <c r="AG154" i="9"/>
  <c r="AI63" i="9"/>
  <c r="AJ112" i="9"/>
  <c r="AG129" i="10"/>
  <c r="AJ129" i="10" s="1"/>
  <c r="AG65" i="10"/>
  <c r="AG116" i="10" s="1"/>
  <c r="AI151" i="10"/>
  <c r="AI161" i="10" s="1"/>
  <c r="AI173" i="10" s="1"/>
  <c r="AI196" i="10" s="1"/>
  <c r="AI143" i="10"/>
  <c r="AJ143" i="10"/>
  <c r="AJ151" i="10"/>
  <c r="AJ161" i="10" s="1"/>
  <c r="AJ173" i="10" s="1"/>
  <c r="AJ196" i="10" s="1"/>
  <c r="AI116" i="10"/>
  <c r="AJ113" i="10"/>
  <c r="AI127" i="10"/>
  <c r="AI132" i="10" s="1"/>
  <c r="AI209" i="10" s="1"/>
  <c r="AI218" i="10" s="1"/>
  <c r="AG128" i="10"/>
  <c r="AJ128" i="10" s="1"/>
  <c r="AJ197" i="10"/>
  <c r="AJ207" i="10" s="1"/>
  <c r="AG82" i="10"/>
  <c r="AJ124" i="10"/>
  <c r="AF109" i="10"/>
  <c r="AI65" i="10"/>
  <c r="AI111" i="10" s="1"/>
  <c r="AG154" i="10"/>
  <c r="AJ119" i="10"/>
  <c r="AJ181" i="10"/>
  <c r="AF17" i="10"/>
  <c r="AH63" i="10"/>
  <c r="AH65" i="10" s="1"/>
  <c r="AH116" i="10" s="1"/>
  <c r="AH209" i="10" s="1"/>
  <c r="AH218" i="10" s="1"/>
  <c r="AI151" i="15"/>
  <c r="AI161" i="15" s="1"/>
  <c r="AI173" i="15" s="1"/>
  <c r="AI196" i="15" s="1"/>
  <c r="AI143" i="15"/>
  <c r="AJ151" i="15"/>
  <c r="AJ161" i="15" s="1"/>
  <c r="AJ173" i="15" s="1"/>
  <c r="AJ196" i="15" s="1"/>
  <c r="AJ143" i="15"/>
  <c r="AF148" i="15"/>
  <c r="AF178" i="15"/>
  <c r="AF194" i="15" s="1"/>
  <c r="AG153" i="15"/>
  <c r="AF144" i="15"/>
  <c r="AF138" i="15"/>
  <c r="AF146" i="15"/>
  <c r="AF145" i="15"/>
  <c r="AF139" i="15"/>
  <c r="AF168" i="15"/>
  <c r="AI111" i="15"/>
  <c r="AI113" i="15"/>
  <c r="AJ113" i="15" s="1"/>
  <c r="AG82" i="15"/>
  <c r="AJ197" i="15"/>
  <c r="AJ207" i="15" s="1"/>
  <c r="AJ93" i="15"/>
  <c r="AJ109" i="15" s="1"/>
  <c r="AF121" i="15"/>
  <c r="AJ121" i="15" s="1"/>
  <c r="AF128" i="15"/>
  <c r="AG128" i="15"/>
  <c r="AJ119" i="15"/>
  <c r="AJ125" i="15" s="1"/>
  <c r="AJ181" i="15"/>
  <c r="AH82" i="15"/>
  <c r="AF63" i="15"/>
  <c r="AG63" i="15"/>
  <c r="AI65" i="15"/>
  <c r="AI132" i="15" s="1"/>
  <c r="AC143" i="17"/>
  <c r="AC151" i="17"/>
  <c r="AC161" i="17" s="1"/>
  <c r="AC173" i="17" s="1"/>
  <c r="AC196" i="17" s="1"/>
  <c r="AD143" i="17"/>
  <c r="AD151" i="17"/>
  <c r="AD161" i="17" s="1"/>
  <c r="AD173" i="17" s="1"/>
  <c r="AD196" i="17" s="1"/>
  <c r="Z113" i="17"/>
  <c r="Z65" i="17"/>
  <c r="Z127" i="17" s="1"/>
  <c r="Z139" i="17"/>
  <c r="AD139" i="17" s="1"/>
  <c r="AB17" i="17"/>
  <c r="Z145" i="17"/>
  <c r="AD145" i="17" s="1"/>
  <c r="Z144" i="17"/>
  <c r="Z168" i="17"/>
  <c r="AD168" i="17" s="1"/>
  <c r="Z138" i="17"/>
  <c r="AA153" i="17"/>
  <c r="AB18" i="17"/>
  <c r="Z164" i="17"/>
  <c r="Z178" i="17"/>
  <c r="AD178" i="17" s="1"/>
  <c r="Z148" i="17"/>
  <c r="AD148" i="17" s="1"/>
  <c r="Z146" i="17"/>
  <c r="AD146" i="17" s="1"/>
  <c r="AA111" i="17"/>
  <c r="AA113" i="17"/>
  <c r="AA65" i="17"/>
  <c r="AB113" i="17"/>
  <c r="AC113" i="17"/>
  <c r="AA127" i="17"/>
  <c r="AA132" i="17" s="1"/>
  <c r="AD109" i="17"/>
  <c r="AD154" i="17"/>
  <c r="AD207" i="17"/>
  <c r="AA129" i="17"/>
  <c r="AA141" i="17"/>
  <c r="Z3" i="17"/>
  <c r="AB63" i="17"/>
  <c r="AC63" i="17"/>
  <c r="AA82" i="17"/>
  <c r="Z207" i="17"/>
  <c r="Z68" i="17"/>
  <c r="AB82" i="17"/>
  <c r="AD122" i="17"/>
  <c r="AD125" i="17" s="1"/>
  <c r="Z109" i="17"/>
  <c r="Z110" i="17" s="1"/>
  <c r="Z125" i="17"/>
  <c r="Z126" i="17" s="1"/>
  <c r="I13" i="2"/>
  <c r="I24" i="2" s="1"/>
  <c r="AW10" i="11"/>
  <c r="AW11" i="11"/>
  <c r="AW12" i="11"/>
  <c r="AW13" i="11"/>
  <c r="AW14" i="11"/>
  <c r="AW15" i="11"/>
  <c r="AW16" i="11"/>
  <c r="AW2" i="11"/>
  <c r="AM3" i="11"/>
  <c r="AN3" i="11"/>
  <c r="AJ4" i="11"/>
  <c r="AK4" i="11"/>
  <c r="AL4" i="11"/>
  <c r="AM4" i="11"/>
  <c r="AN4" i="11"/>
  <c r="AJ5" i="11"/>
  <c r="AK5" i="11"/>
  <c r="AL5" i="11"/>
  <c r="AM5" i="11"/>
  <c r="AN5" i="11"/>
  <c r="AJ6" i="11"/>
  <c r="AK6" i="11"/>
  <c r="AL6" i="11"/>
  <c r="AM6" i="11"/>
  <c r="AN6" i="11"/>
  <c r="AJ7" i="11"/>
  <c r="AK7" i="11"/>
  <c r="AL7" i="11"/>
  <c r="AM7" i="11"/>
  <c r="AN7" i="11"/>
  <c r="AJ8" i="11"/>
  <c r="AK8" i="11"/>
  <c r="AL8" i="11"/>
  <c r="AM8" i="11"/>
  <c r="AN8" i="11"/>
  <c r="AJ9" i="11"/>
  <c r="AK9" i="11"/>
  <c r="AL9" i="11"/>
  <c r="AM9" i="11"/>
  <c r="AN9" i="11"/>
  <c r="AJ10" i="11"/>
  <c r="AK10" i="11"/>
  <c r="AL10" i="11"/>
  <c r="AM10" i="11"/>
  <c r="AN10" i="11"/>
  <c r="AJ11" i="11"/>
  <c r="AK11" i="11"/>
  <c r="AL11" i="11"/>
  <c r="AM11" i="11"/>
  <c r="AN11" i="11"/>
  <c r="AJ12" i="11"/>
  <c r="AK12" i="11"/>
  <c r="AL12" i="11"/>
  <c r="AM12" i="11"/>
  <c r="AN12" i="11"/>
  <c r="AJ13" i="11"/>
  <c r="AK13" i="11"/>
  <c r="AL13" i="11"/>
  <c r="AM13" i="11"/>
  <c r="AN13" i="11"/>
  <c r="AJ14" i="11"/>
  <c r="AK14" i="11"/>
  <c r="AL14" i="11"/>
  <c r="AM14" i="11"/>
  <c r="AN14" i="11"/>
  <c r="AJ15" i="11"/>
  <c r="AK15" i="11"/>
  <c r="AL15" i="11"/>
  <c r="AM15" i="11"/>
  <c r="AN15" i="11"/>
  <c r="AJ16" i="11"/>
  <c r="AK16" i="11"/>
  <c r="AL16" i="11"/>
  <c r="AM16" i="11"/>
  <c r="AN16" i="11"/>
  <c r="AL17" i="11"/>
  <c r="AM17" i="11"/>
  <c r="AN17" i="11"/>
  <c r="W4" i="11"/>
  <c r="W5" i="11"/>
  <c r="W6" i="11"/>
  <c r="W7" i="11"/>
  <c r="X7" i="11"/>
  <c r="AA7" i="11"/>
  <c r="AB7" i="11"/>
  <c r="W8" i="11"/>
  <c r="X8" i="11"/>
  <c r="Y8" i="11"/>
  <c r="AB8" i="11"/>
  <c r="W9" i="11"/>
  <c r="X9" i="11"/>
  <c r="Y9" i="11"/>
  <c r="Z9" i="11"/>
  <c r="W10" i="11"/>
  <c r="X10" i="11"/>
  <c r="Y10" i="11"/>
  <c r="Z10" i="11"/>
  <c r="AA10" i="11"/>
  <c r="AB10" i="11"/>
  <c r="W11" i="11"/>
  <c r="X11" i="11"/>
  <c r="Y11" i="11"/>
  <c r="Z11" i="11"/>
  <c r="AA11" i="11"/>
  <c r="AB11" i="11"/>
  <c r="W12" i="11"/>
  <c r="X12" i="11"/>
  <c r="Y12" i="11"/>
  <c r="Z12" i="11"/>
  <c r="AA12" i="11"/>
  <c r="AB12" i="11"/>
  <c r="W13" i="11"/>
  <c r="X13" i="11"/>
  <c r="Y13" i="11"/>
  <c r="Z13" i="11"/>
  <c r="AA13" i="11"/>
  <c r="AB13" i="11"/>
  <c r="W14" i="11"/>
  <c r="X14" i="11"/>
  <c r="Y14" i="11"/>
  <c r="Z14" i="11"/>
  <c r="AA14" i="11"/>
  <c r="AB14" i="11"/>
  <c r="W15" i="11"/>
  <c r="X15" i="11"/>
  <c r="Y15" i="11"/>
  <c r="Z15" i="11"/>
  <c r="AA15" i="11"/>
  <c r="AB15" i="11"/>
  <c r="W16" i="11"/>
  <c r="X16" i="11"/>
  <c r="Y16" i="11"/>
  <c r="Z16" i="11"/>
  <c r="AA16" i="11"/>
  <c r="AB16" i="11"/>
  <c r="W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N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U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G2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4" i="11"/>
  <c r="G85" i="11"/>
  <c r="G86" i="11"/>
  <c r="G87" i="11"/>
  <c r="G88" i="11"/>
  <c r="G91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72" i="11"/>
  <c r="N73" i="11"/>
  <c r="N74" i="11"/>
  <c r="N75" i="11"/>
  <c r="N76" i="11"/>
  <c r="N77" i="11"/>
  <c r="N78" i="11"/>
  <c r="N79" i="11"/>
  <c r="N80" i="11"/>
  <c r="N81" i="11"/>
  <c r="N84" i="11"/>
  <c r="N85" i="11"/>
  <c r="N86" i="11"/>
  <c r="N87" i="11"/>
  <c r="N88" i="11"/>
  <c r="N91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8" i="11"/>
  <c r="N160" i="11"/>
  <c r="N161" i="11"/>
  <c r="N162" i="11"/>
  <c r="N163" i="11"/>
  <c r="N164" i="11"/>
  <c r="N165" i="11"/>
  <c r="N166" i="11"/>
  <c r="N167" i="11"/>
  <c r="N168" i="11"/>
  <c r="N169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10" i="11"/>
  <c r="N211" i="11"/>
  <c r="N212" i="11"/>
  <c r="N213" i="11"/>
  <c r="N214" i="11"/>
  <c r="N215" i="11"/>
  <c r="N216" i="11"/>
  <c r="N217" i="11"/>
  <c r="N219" i="11"/>
  <c r="N2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72" i="11"/>
  <c r="U73" i="11"/>
  <c r="U74" i="11"/>
  <c r="U75" i="11"/>
  <c r="U76" i="11"/>
  <c r="U77" i="11"/>
  <c r="U78" i="11"/>
  <c r="U79" i="11"/>
  <c r="U80" i="11"/>
  <c r="U81" i="11"/>
  <c r="U84" i="11"/>
  <c r="U85" i="11"/>
  <c r="U86" i="11"/>
  <c r="U87" i="11"/>
  <c r="U88" i="11"/>
  <c r="U91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8" i="11"/>
  <c r="U160" i="11"/>
  <c r="U161" i="11"/>
  <c r="U162" i="11"/>
  <c r="U163" i="11"/>
  <c r="U164" i="11"/>
  <c r="U165" i="11"/>
  <c r="U166" i="11"/>
  <c r="U167" i="11"/>
  <c r="U168" i="11"/>
  <c r="U169" i="11"/>
  <c r="U172" i="11"/>
  <c r="U173" i="11"/>
  <c r="U174" i="11"/>
  <c r="U175" i="11"/>
  <c r="U176" i="11"/>
  <c r="U177" i="11"/>
  <c r="U178" i="11"/>
  <c r="U179" i="11"/>
  <c r="U180" i="11"/>
  <c r="U181" i="11"/>
  <c r="U182" i="11"/>
  <c r="U183" i="11"/>
  <c r="U184" i="11"/>
  <c r="U185" i="11"/>
  <c r="U186" i="11"/>
  <c r="U187" i="11"/>
  <c r="U188" i="11"/>
  <c r="U189" i="11"/>
  <c r="U190" i="11"/>
  <c r="U191" i="11"/>
  <c r="U192" i="11"/>
  <c r="U195" i="11"/>
  <c r="U196" i="11"/>
  <c r="U197" i="11"/>
  <c r="U198" i="11"/>
  <c r="U199" i="11"/>
  <c r="U200" i="11"/>
  <c r="U201" i="11"/>
  <c r="U202" i="11"/>
  <c r="U203" i="11"/>
  <c r="U204" i="11"/>
  <c r="U205" i="11"/>
  <c r="U206" i="11"/>
  <c r="U207" i="11"/>
  <c r="U208" i="11"/>
  <c r="U210" i="11"/>
  <c r="U211" i="11"/>
  <c r="U212" i="11"/>
  <c r="U213" i="11"/>
  <c r="U214" i="11"/>
  <c r="U215" i="11"/>
  <c r="U216" i="11"/>
  <c r="U217" i="11"/>
  <c r="U219" i="11"/>
  <c r="U220" i="11"/>
  <c r="AB37" i="11"/>
  <c r="AB62" i="11"/>
  <c r="AB66" i="11"/>
  <c r="AB85" i="11"/>
  <c r="AB86" i="11"/>
  <c r="AB87" i="11"/>
  <c r="AB117" i="11"/>
  <c r="AB133" i="11"/>
  <c r="AB142" i="11"/>
  <c r="AB150" i="11"/>
  <c r="AB160" i="11"/>
  <c r="AB172" i="11"/>
  <c r="AB195" i="11"/>
  <c r="AB208" i="11"/>
  <c r="AB210" i="11"/>
  <c r="AB211" i="11"/>
  <c r="AB217" i="11"/>
  <c r="AB219" i="11"/>
  <c r="AU37" i="11"/>
  <c r="AU62" i="11"/>
  <c r="AU66" i="11"/>
  <c r="AU85" i="11"/>
  <c r="AU86" i="11"/>
  <c r="AU87" i="11"/>
  <c r="AU117" i="11"/>
  <c r="AU133" i="11"/>
  <c r="AU142" i="11"/>
  <c r="AU150" i="11"/>
  <c r="AU160" i="11"/>
  <c r="AU172" i="11"/>
  <c r="AU195" i="11"/>
  <c r="AU208" i="11"/>
  <c r="AU210" i="11"/>
  <c r="AU211" i="11"/>
  <c r="AU217" i="11"/>
  <c r="AU219" i="11"/>
  <c r="AU20" i="11"/>
  <c r="AB20" i="11"/>
  <c r="U20" i="11"/>
  <c r="N20" i="11"/>
  <c r="G20" i="11"/>
  <c r="AJ148" i="15" l="1"/>
  <c r="AJ168" i="15"/>
  <c r="AJ139" i="15"/>
  <c r="AN139" i="11" s="1"/>
  <c r="AJ145" i="15"/>
  <c r="AJ138" i="15"/>
  <c r="AN138" i="11" s="1"/>
  <c r="AJ146" i="15"/>
  <c r="AJ178" i="15"/>
  <c r="AJ194" i="15" s="1"/>
  <c r="AH218" i="15"/>
  <c r="AJ154" i="15"/>
  <c r="AJ128" i="15"/>
  <c r="AJ65" i="15"/>
  <c r="AJ141" i="15"/>
  <c r="AN141" i="11" s="1"/>
  <c r="AJ111" i="10"/>
  <c r="AJ154" i="10"/>
  <c r="AJ65" i="10"/>
  <c r="AH18" i="10"/>
  <c r="AF138" i="4"/>
  <c r="AJ138" i="4" s="1"/>
  <c r="AF168" i="4"/>
  <c r="AJ168" i="4" s="1"/>
  <c r="AF146" i="4"/>
  <c r="AJ146" i="4" s="1"/>
  <c r="AF178" i="4"/>
  <c r="AJ178" i="4" s="1"/>
  <c r="AG153" i="4"/>
  <c r="AJ153" i="4" s="1"/>
  <c r="AK153" i="11" s="1"/>
  <c r="AV138" i="9"/>
  <c r="AV144" i="9"/>
  <c r="AV164" i="9"/>
  <c r="AS159" i="9"/>
  <c r="AS209" i="9" s="1"/>
  <c r="AS218" i="9" s="1"/>
  <c r="AV153" i="9"/>
  <c r="AJ139" i="9"/>
  <c r="AL139" i="11" s="1"/>
  <c r="AR139" i="9"/>
  <c r="AV139" i="9" s="1"/>
  <c r="AJ146" i="9"/>
  <c r="AL146" i="11" s="1"/>
  <c r="AR146" i="9"/>
  <c r="AV146" i="9" s="1"/>
  <c r="AV149" i="9" s="1"/>
  <c r="AJ178" i="9"/>
  <c r="AJ194" i="9" s="1"/>
  <c r="AR178" i="9"/>
  <c r="AJ148" i="9"/>
  <c r="AL148" i="11" s="1"/>
  <c r="AR148" i="9"/>
  <c r="AV148" i="9" s="1"/>
  <c r="AJ168" i="9"/>
  <c r="AR168" i="9"/>
  <c r="AV168" i="9" s="1"/>
  <c r="AJ145" i="9"/>
  <c r="AL145" i="11" s="1"/>
  <c r="AR145" i="9"/>
  <c r="AV145" i="9" s="1"/>
  <c r="R126" i="3"/>
  <c r="AG127" i="4"/>
  <c r="AG132" i="4" s="1"/>
  <c r="AJ113" i="4"/>
  <c r="AH17" i="10"/>
  <c r="AF148" i="4"/>
  <c r="AJ148" i="4" s="1"/>
  <c r="AK148" i="11" s="1"/>
  <c r="AF144" i="4"/>
  <c r="AF139" i="4"/>
  <c r="AF145" i="4"/>
  <c r="AJ145" i="4" s="1"/>
  <c r="AK145" i="11" s="1"/>
  <c r="AK17" i="11"/>
  <c r="N127" i="3"/>
  <c r="L116" i="3"/>
  <c r="X127" i="3"/>
  <c r="X111" i="3"/>
  <c r="X116" i="3" s="1"/>
  <c r="T116" i="3"/>
  <c r="X171" i="3"/>
  <c r="T171" i="3"/>
  <c r="X159" i="3"/>
  <c r="T159" i="3"/>
  <c r="X132" i="3"/>
  <c r="T132" i="3"/>
  <c r="X193" i="3"/>
  <c r="X194" i="3" s="1"/>
  <c r="X209" i="3" s="1"/>
  <c r="X218" i="3" s="1"/>
  <c r="T194" i="3"/>
  <c r="T209" i="3" s="1"/>
  <c r="T218" i="3" s="1"/>
  <c r="AU129" i="3"/>
  <c r="AR146" i="3"/>
  <c r="AR145" i="3"/>
  <c r="AR164" i="3"/>
  <c r="AR148" i="3"/>
  <c r="AT129" i="3"/>
  <c r="AS129" i="3"/>
  <c r="R129" i="3"/>
  <c r="R116" i="3"/>
  <c r="AR111" i="3"/>
  <c r="O132" i="3"/>
  <c r="R156" i="3"/>
  <c r="N159" i="3"/>
  <c r="R194" i="3"/>
  <c r="R171" i="3"/>
  <c r="O209" i="3"/>
  <c r="O218" i="3" s="1"/>
  <c r="N194" i="3"/>
  <c r="R159" i="3"/>
  <c r="N171" i="3"/>
  <c r="AS127" i="3"/>
  <c r="I209" i="3"/>
  <c r="I218" i="3" s="1"/>
  <c r="L156" i="3"/>
  <c r="L159" i="3" s="1"/>
  <c r="H159" i="3"/>
  <c r="AU127" i="3"/>
  <c r="H171" i="3"/>
  <c r="L193" i="3"/>
  <c r="L194" i="3" s="1"/>
  <c r="H194" i="3"/>
  <c r="L127" i="3"/>
  <c r="L132" i="3" s="1"/>
  <c r="D116" i="3"/>
  <c r="D209" i="3" s="1"/>
  <c r="D218" i="3" s="1"/>
  <c r="F157" i="3"/>
  <c r="F193" i="3"/>
  <c r="F194" i="3" s="1"/>
  <c r="B194" i="3"/>
  <c r="E116" i="3"/>
  <c r="E209" i="3" s="1"/>
  <c r="E218" i="3" s="1"/>
  <c r="AU111" i="3"/>
  <c r="F111" i="3"/>
  <c r="F116" i="3" s="1"/>
  <c r="AS111" i="3"/>
  <c r="C116" i="3"/>
  <c r="C209" i="3" s="1"/>
  <c r="C218" i="3" s="1"/>
  <c r="F170" i="3"/>
  <c r="F171" i="3" s="1"/>
  <c r="B171" i="3"/>
  <c r="F127" i="3"/>
  <c r="F132" i="3" s="1"/>
  <c r="F156" i="3"/>
  <c r="F159" i="3" s="1"/>
  <c r="B159" i="3"/>
  <c r="AD65" i="3"/>
  <c r="AB127" i="3"/>
  <c r="AB132" i="3" s="1"/>
  <c r="AB209" i="3" s="1"/>
  <c r="AB218" i="3" s="1"/>
  <c r="AD113" i="3"/>
  <c r="Z116" i="3"/>
  <c r="AD110" i="3"/>
  <c r="AD125" i="3"/>
  <c r="AC111" i="3"/>
  <c r="AC116" i="3" s="1"/>
  <c r="AC209" i="3" s="1"/>
  <c r="AC218" i="3" s="1"/>
  <c r="Z125" i="3"/>
  <c r="AD154" i="3"/>
  <c r="Z145" i="3"/>
  <c r="AD145" i="3" s="1"/>
  <c r="Z139" i="3"/>
  <c r="AD139" i="3" s="1"/>
  <c r="Z144" i="3"/>
  <c r="Z138" i="3"/>
  <c r="Z168" i="3"/>
  <c r="AD168" i="3" s="1"/>
  <c r="Z146" i="3"/>
  <c r="AD146" i="3" s="1"/>
  <c r="AA153" i="3"/>
  <c r="Z178" i="3"/>
  <c r="Z148" i="3"/>
  <c r="AD148" i="3" s="1"/>
  <c r="Z164" i="3"/>
  <c r="AF132" i="4"/>
  <c r="AJ126" i="4"/>
  <c r="AF116" i="4"/>
  <c r="AJ127" i="4"/>
  <c r="AI111" i="4"/>
  <c r="AI116" i="4" s="1"/>
  <c r="AI209" i="4" s="1"/>
  <c r="AI218" i="4" s="1"/>
  <c r="AJ164" i="4"/>
  <c r="AH111" i="4"/>
  <c r="AH116" i="4" s="1"/>
  <c r="AH209" i="4" s="1"/>
  <c r="AH218" i="4" s="1"/>
  <c r="AG159" i="9"/>
  <c r="AJ153" i="9"/>
  <c r="AL153" i="11" s="1"/>
  <c r="AI65" i="9"/>
  <c r="AI116" i="9" s="1"/>
  <c r="AI129" i="9"/>
  <c r="AG65" i="9"/>
  <c r="AG116" i="9" s="1"/>
  <c r="AG129" i="9"/>
  <c r="AF149" i="9"/>
  <c r="AJ144" i="9"/>
  <c r="AJ164" i="9"/>
  <c r="AL164" i="11" s="1"/>
  <c r="AF125" i="9"/>
  <c r="AJ121" i="9"/>
  <c r="AJ125" i="9" s="1"/>
  <c r="AF65" i="9"/>
  <c r="AF129" i="9"/>
  <c r="AF194" i="9"/>
  <c r="AJ154" i="9"/>
  <c r="AJ138" i="9"/>
  <c r="AF141" i="9"/>
  <c r="AJ168" i="10"/>
  <c r="AF148" i="10"/>
  <c r="AJ148" i="10" s="1"/>
  <c r="AF145" i="10"/>
  <c r="AJ145" i="10" s="1"/>
  <c r="AM145" i="11" s="1"/>
  <c r="AF138" i="10"/>
  <c r="AF178" i="10"/>
  <c r="AG153" i="10"/>
  <c r="AF139" i="10"/>
  <c r="AJ139" i="10" s="1"/>
  <c r="AM139" i="11" s="1"/>
  <c r="AF144" i="10"/>
  <c r="AF146" i="10"/>
  <c r="AJ146" i="10" s="1"/>
  <c r="AM146" i="11" s="1"/>
  <c r="AG132" i="10"/>
  <c r="AF132" i="10"/>
  <c r="AJ125" i="10"/>
  <c r="AJ110" i="10"/>
  <c r="AF116" i="10"/>
  <c r="AI116" i="15"/>
  <c r="AI209" i="15" s="1"/>
  <c r="AI218" i="15" s="1"/>
  <c r="AJ144" i="15"/>
  <c r="AF149" i="15"/>
  <c r="AF141" i="15"/>
  <c r="AG159" i="15"/>
  <c r="AJ153" i="15"/>
  <c r="AN153" i="11" s="1"/>
  <c r="AF129" i="15"/>
  <c r="AF65" i="15"/>
  <c r="AJ164" i="15"/>
  <c r="AN164" i="11" s="1"/>
  <c r="AF125" i="15"/>
  <c r="AG129" i="15"/>
  <c r="AG65" i="15"/>
  <c r="AG116" i="15" s="1"/>
  <c r="AG132" i="15"/>
  <c r="AA116" i="17"/>
  <c r="Z156" i="17"/>
  <c r="AD68" i="17"/>
  <c r="AD82" i="17" s="1"/>
  <c r="Z170" i="17"/>
  <c r="AD170" i="17" s="1"/>
  <c r="Z193" i="17"/>
  <c r="Z82" i="17"/>
  <c r="Z157" i="17"/>
  <c r="AD157" i="17" s="1"/>
  <c r="AD153" i="17"/>
  <c r="AA159" i="17"/>
  <c r="AA209" i="17" s="1"/>
  <c r="AA218" i="17" s="1"/>
  <c r="Z132" i="17"/>
  <c r="AD126" i="17"/>
  <c r="AD113" i="17"/>
  <c r="AD110" i="17"/>
  <c r="Z111" i="17"/>
  <c r="AD138" i="17"/>
  <c r="AD141" i="17" s="1"/>
  <c r="Z141" i="17"/>
  <c r="AB65" i="17"/>
  <c r="AB111" i="17" s="1"/>
  <c r="AB116" i="17" s="1"/>
  <c r="AB129" i="17"/>
  <c r="AB132" i="17" s="1"/>
  <c r="AD164" i="17"/>
  <c r="AD171" i="17" s="1"/>
  <c r="AD144" i="17"/>
  <c r="AD149" i="17" s="1"/>
  <c r="Z149" i="17"/>
  <c r="AC129" i="17"/>
  <c r="AD129" i="17" s="1"/>
  <c r="AC65" i="17"/>
  <c r="AC111" i="17" s="1"/>
  <c r="AC116" i="17" s="1"/>
  <c r="I40" i="2"/>
  <c r="I36" i="2"/>
  <c r="I33" i="2"/>
  <c r="P2" i="11"/>
  <c r="P3" i="11"/>
  <c r="S3" i="11"/>
  <c r="T3" i="11"/>
  <c r="P4" i="11"/>
  <c r="S4" i="11"/>
  <c r="T4" i="11"/>
  <c r="P5" i="11"/>
  <c r="S5" i="11"/>
  <c r="T5" i="11"/>
  <c r="P6" i="11"/>
  <c r="S6" i="11"/>
  <c r="T6" i="11"/>
  <c r="P7" i="11"/>
  <c r="S7" i="11"/>
  <c r="T7" i="11"/>
  <c r="P8" i="11"/>
  <c r="S8" i="11"/>
  <c r="T8" i="11"/>
  <c r="P9" i="11"/>
  <c r="S9" i="11"/>
  <c r="T9" i="11"/>
  <c r="P10" i="11"/>
  <c r="S10" i="11"/>
  <c r="T10" i="11"/>
  <c r="P11" i="11"/>
  <c r="S11" i="11"/>
  <c r="T11" i="11"/>
  <c r="P12" i="11"/>
  <c r="S12" i="11"/>
  <c r="T12" i="11"/>
  <c r="P13" i="11"/>
  <c r="S13" i="11"/>
  <c r="T13" i="11"/>
  <c r="P14" i="11"/>
  <c r="Q14" i="11"/>
  <c r="R14" i="11"/>
  <c r="S14" i="11"/>
  <c r="T14" i="11"/>
  <c r="P15" i="11"/>
  <c r="Q15" i="11"/>
  <c r="R15" i="11"/>
  <c r="S15" i="11"/>
  <c r="T15" i="11"/>
  <c r="P16" i="11"/>
  <c r="Q16" i="11"/>
  <c r="R16" i="11"/>
  <c r="S16" i="11"/>
  <c r="T16" i="11"/>
  <c r="P17" i="11"/>
  <c r="S17" i="11"/>
  <c r="T17" i="11"/>
  <c r="I3" i="11"/>
  <c r="L3" i="11"/>
  <c r="M3" i="11"/>
  <c r="I4" i="11"/>
  <c r="J4" i="11"/>
  <c r="K4" i="11"/>
  <c r="L4" i="11"/>
  <c r="M4" i="11"/>
  <c r="I5" i="11"/>
  <c r="J5" i="11"/>
  <c r="K5" i="11"/>
  <c r="L5" i="11"/>
  <c r="M5" i="11"/>
  <c r="I6" i="11"/>
  <c r="J6" i="11"/>
  <c r="K6" i="11"/>
  <c r="L6" i="11"/>
  <c r="M6" i="11"/>
  <c r="I7" i="11"/>
  <c r="J7" i="11"/>
  <c r="K7" i="11"/>
  <c r="L7" i="11"/>
  <c r="M7" i="11"/>
  <c r="I8" i="11"/>
  <c r="J8" i="11"/>
  <c r="K8" i="11"/>
  <c r="L8" i="11"/>
  <c r="M8" i="11"/>
  <c r="I9" i="11"/>
  <c r="J9" i="11"/>
  <c r="K9" i="11"/>
  <c r="L9" i="11"/>
  <c r="M9" i="11"/>
  <c r="I10" i="11"/>
  <c r="J10" i="11"/>
  <c r="K10" i="11"/>
  <c r="L10" i="11"/>
  <c r="M10" i="11"/>
  <c r="I11" i="11"/>
  <c r="J11" i="11"/>
  <c r="K11" i="11"/>
  <c r="L11" i="11"/>
  <c r="M11" i="11"/>
  <c r="I12" i="11"/>
  <c r="J12" i="11"/>
  <c r="K12" i="11"/>
  <c r="L12" i="11"/>
  <c r="M12" i="11"/>
  <c r="I13" i="11"/>
  <c r="J13" i="11"/>
  <c r="K13" i="11"/>
  <c r="L13" i="11"/>
  <c r="M13" i="11"/>
  <c r="I14" i="11"/>
  <c r="J14" i="11"/>
  <c r="K14" i="11"/>
  <c r="L14" i="11"/>
  <c r="M14" i="11"/>
  <c r="I15" i="11"/>
  <c r="J15" i="11"/>
  <c r="K15" i="11"/>
  <c r="L15" i="11"/>
  <c r="M15" i="11"/>
  <c r="I16" i="11"/>
  <c r="J16" i="11"/>
  <c r="K16" i="11"/>
  <c r="L16" i="11"/>
  <c r="M16" i="11"/>
  <c r="I17" i="11"/>
  <c r="L17" i="11"/>
  <c r="M17" i="11"/>
  <c r="I2" i="11"/>
  <c r="E3" i="11"/>
  <c r="F3" i="11"/>
  <c r="C4" i="11"/>
  <c r="D4" i="11"/>
  <c r="E4" i="11"/>
  <c r="F4" i="11"/>
  <c r="C5" i="11"/>
  <c r="D5" i="11"/>
  <c r="E5" i="11"/>
  <c r="F5" i="11"/>
  <c r="C6" i="11"/>
  <c r="D6" i="11"/>
  <c r="E6" i="11"/>
  <c r="F6" i="11"/>
  <c r="C7" i="11"/>
  <c r="D7" i="11"/>
  <c r="E7" i="11"/>
  <c r="F7" i="11"/>
  <c r="C8" i="11"/>
  <c r="D8" i="11"/>
  <c r="E8" i="11"/>
  <c r="F8" i="11"/>
  <c r="C9" i="11"/>
  <c r="D9" i="11"/>
  <c r="E9" i="11"/>
  <c r="F9" i="11"/>
  <c r="C10" i="11"/>
  <c r="D10" i="11"/>
  <c r="E10" i="11"/>
  <c r="F10" i="11"/>
  <c r="C11" i="11"/>
  <c r="D11" i="11"/>
  <c r="E11" i="11"/>
  <c r="F11" i="11"/>
  <c r="C12" i="11"/>
  <c r="D12" i="11"/>
  <c r="E12" i="11"/>
  <c r="F12" i="11"/>
  <c r="C13" i="11"/>
  <c r="D13" i="11"/>
  <c r="E13" i="11"/>
  <c r="F13" i="11"/>
  <c r="C14" i="11"/>
  <c r="D14" i="11"/>
  <c r="E14" i="11"/>
  <c r="F14" i="11"/>
  <c r="C15" i="11"/>
  <c r="D15" i="11"/>
  <c r="E15" i="11"/>
  <c r="F15" i="11"/>
  <c r="C16" i="11"/>
  <c r="D16" i="11"/>
  <c r="E16" i="11"/>
  <c r="F16" i="11"/>
  <c r="E17" i="11"/>
  <c r="F17" i="11"/>
  <c r="F2" i="11"/>
  <c r="E2" i="11"/>
  <c r="D2" i="11"/>
  <c r="C2" i="11"/>
  <c r="B2" i="11"/>
  <c r="B17" i="11"/>
  <c r="B3" i="11"/>
  <c r="AV220" i="3"/>
  <c r="AU220" i="3"/>
  <c r="AT220" i="3"/>
  <c r="AS220" i="3"/>
  <c r="AR220" i="3"/>
  <c r="AV213" i="3"/>
  <c r="AU216" i="3"/>
  <c r="AV191" i="3"/>
  <c r="AV188" i="3"/>
  <c r="AV151" i="3"/>
  <c r="AV161" i="3" s="1"/>
  <c r="AV173" i="3" s="1"/>
  <c r="AV196" i="3" s="1"/>
  <c r="AV130" i="3"/>
  <c r="AV115" i="3"/>
  <c r="AV103" i="3"/>
  <c r="AV97" i="3"/>
  <c r="AT88" i="3"/>
  <c r="AV87" i="3"/>
  <c r="AU88" i="3"/>
  <c r="AV85" i="3"/>
  <c r="AV78" i="3"/>
  <c r="AV76" i="3"/>
  <c r="AV73" i="3"/>
  <c r="AV67" i="3"/>
  <c r="AV84" i="3" s="1"/>
  <c r="AV91" i="3" s="1"/>
  <c r="AV118" i="3" s="1"/>
  <c r="AV134" i="3" s="1"/>
  <c r="AV143" i="3" s="1"/>
  <c r="AU67" i="3"/>
  <c r="AU84" i="3" s="1"/>
  <c r="AU91" i="3" s="1"/>
  <c r="AU118" i="3" s="1"/>
  <c r="AU134" i="3" s="1"/>
  <c r="AV58" i="3"/>
  <c r="AV52" i="3"/>
  <c r="AV49" i="3"/>
  <c r="AV46" i="3"/>
  <c r="AV40" i="3"/>
  <c r="AV38" i="3"/>
  <c r="AU38" i="3"/>
  <c r="AV34" i="3"/>
  <c r="AV31" i="3"/>
  <c r="AV28" i="3"/>
  <c r="AV27" i="3"/>
  <c r="AV26" i="3"/>
  <c r="AU26" i="3"/>
  <c r="AU25" i="3"/>
  <c r="AS25" i="3"/>
  <c r="AR25" i="3"/>
  <c r="AV22" i="3"/>
  <c r="AV21" i="3"/>
  <c r="AX16" i="11"/>
  <c r="AX15" i="11"/>
  <c r="AX14" i="11"/>
  <c r="AY16" i="11"/>
  <c r="AY15" i="11"/>
  <c r="AY14" i="11"/>
  <c r="AZ16" i="11"/>
  <c r="AZ15" i="11"/>
  <c r="AZ14" i="11"/>
  <c r="AZ13" i="11"/>
  <c r="AZ12" i="11"/>
  <c r="AZ11" i="11"/>
  <c r="AZ10" i="11"/>
  <c r="AZ9" i="11"/>
  <c r="BB53" i="11"/>
  <c r="BB56" i="11"/>
  <c r="BB37" i="11"/>
  <c r="BB62" i="11"/>
  <c r="BB66" i="11"/>
  <c r="BB67" i="11"/>
  <c r="BB117" i="11"/>
  <c r="BB133" i="11"/>
  <c r="BB142" i="11"/>
  <c r="BB150" i="11"/>
  <c r="BB160" i="11"/>
  <c r="BB172" i="11"/>
  <c r="BB195" i="11"/>
  <c r="BB208" i="11"/>
  <c r="BB210" i="11"/>
  <c r="BB211" i="11"/>
  <c r="BB217" i="11"/>
  <c r="BB219" i="11"/>
  <c r="BB20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0" i="11"/>
  <c r="AN41" i="11"/>
  <c r="AN42" i="11"/>
  <c r="AN43" i="11"/>
  <c r="AN44" i="11"/>
  <c r="AN45" i="11"/>
  <c r="AN46" i="11"/>
  <c r="AN47" i="11"/>
  <c r="AN48" i="11"/>
  <c r="AN49" i="11"/>
  <c r="AN50" i="11"/>
  <c r="AN51" i="11"/>
  <c r="AN52" i="11"/>
  <c r="AN53" i="11"/>
  <c r="AN54" i="11"/>
  <c r="AN55" i="11"/>
  <c r="AN56" i="11"/>
  <c r="AN57" i="11"/>
  <c r="AN58" i="11"/>
  <c r="AN59" i="11"/>
  <c r="AN60" i="11"/>
  <c r="AN62" i="11"/>
  <c r="AN66" i="11"/>
  <c r="AN72" i="11"/>
  <c r="AN73" i="11"/>
  <c r="AN74" i="11"/>
  <c r="AN75" i="11"/>
  <c r="AN76" i="11"/>
  <c r="AN77" i="11"/>
  <c r="AN78" i="11"/>
  <c r="AN79" i="11"/>
  <c r="AN80" i="11"/>
  <c r="AN81" i="11"/>
  <c r="AN85" i="11"/>
  <c r="AN86" i="11"/>
  <c r="AN87" i="11"/>
  <c r="AN88" i="11"/>
  <c r="AN93" i="11"/>
  <c r="AN94" i="11"/>
  <c r="AN96" i="11"/>
  <c r="AN97" i="11"/>
  <c r="AN98" i="11"/>
  <c r="AN99" i="11"/>
  <c r="AN100" i="11"/>
  <c r="AN101" i="11"/>
  <c r="AN102" i="11"/>
  <c r="AN103" i="11"/>
  <c r="AN104" i="11"/>
  <c r="AN105" i="11"/>
  <c r="AN106" i="11"/>
  <c r="AN107" i="11"/>
  <c r="AN108" i="11"/>
  <c r="AN114" i="11"/>
  <c r="AN115" i="11"/>
  <c r="AN117" i="11"/>
  <c r="AN119" i="11"/>
  <c r="AN120" i="11"/>
  <c r="AN121" i="11"/>
  <c r="AN122" i="11"/>
  <c r="AN123" i="11"/>
  <c r="AN124" i="11"/>
  <c r="AN130" i="11"/>
  <c r="AN131" i="11"/>
  <c r="AN133" i="11"/>
  <c r="AN135" i="11"/>
  <c r="AN136" i="11"/>
  <c r="AN137" i="11"/>
  <c r="AN140" i="11"/>
  <c r="AN142" i="11"/>
  <c r="AN145" i="11"/>
  <c r="AN146" i="11"/>
  <c r="AN147" i="11"/>
  <c r="AN148" i="11"/>
  <c r="AN150" i="11"/>
  <c r="AN152" i="11"/>
  <c r="AN154" i="11"/>
  <c r="AN155" i="11"/>
  <c r="AN158" i="11"/>
  <c r="AN160" i="11"/>
  <c r="AN162" i="11"/>
  <c r="AN163" i="11"/>
  <c r="AN165" i="11"/>
  <c r="AN166" i="11"/>
  <c r="AN167" i="11"/>
  <c r="AN168" i="11"/>
  <c r="AN169" i="11"/>
  <c r="AN172" i="11"/>
  <c r="AN174" i="11"/>
  <c r="AN175" i="11"/>
  <c r="AN176" i="11"/>
  <c r="AN177" i="11"/>
  <c r="AN179" i="11"/>
  <c r="AN180" i="11"/>
  <c r="AN181" i="11"/>
  <c r="AN182" i="11"/>
  <c r="AN183" i="11"/>
  <c r="AN184" i="11"/>
  <c r="AN185" i="11"/>
  <c r="AN186" i="11"/>
  <c r="AN187" i="11"/>
  <c r="AN188" i="11"/>
  <c r="AN189" i="11"/>
  <c r="AN190" i="11"/>
  <c r="AN191" i="11"/>
  <c r="AN192" i="11"/>
  <c r="AN195" i="11"/>
  <c r="AN197" i="11"/>
  <c r="AN198" i="11"/>
  <c r="AN199" i="11"/>
  <c r="AN200" i="11"/>
  <c r="AN201" i="11"/>
  <c r="AN202" i="11"/>
  <c r="AN203" i="11"/>
  <c r="AN204" i="11"/>
  <c r="AN205" i="11"/>
  <c r="AN206" i="11"/>
  <c r="AN207" i="11"/>
  <c r="AN208" i="11"/>
  <c r="AN210" i="11"/>
  <c r="AN211" i="11"/>
  <c r="AN212" i="11"/>
  <c r="AN213" i="11"/>
  <c r="AN214" i="11"/>
  <c r="AN215" i="11"/>
  <c r="AN216" i="11"/>
  <c r="AN217" i="11"/>
  <c r="AN219" i="11"/>
  <c r="BB212" i="11"/>
  <c r="AL165" i="15"/>
  <c r="AL171" i="15" s="1"/>
  <c r="AL144" i="15"/>
  <c r="AM127" i="15"/>
  <c r="AN127" i="15"/>
  <c r="AL127" i="15"/>
  <c r="AM126" i="15"/>
  <c r="AN126" i="15"/>
  <c r="AO126" i="15"/>
  <c r="AL126" i="15"/>
  <c r="AL123" i="15"/>
  <c r="AM106" i="15"/>
  <c r="AP106" i="15" s="1"/>
  <c r="AU106" i="11" s="1"/>
  <c r="AN102" i="15"/>
  <c r="AP102" i="15" s="1"/>
  <c r="AU102" i="11" s="1"/>
  <c r="AL98" i="15"/>
  <c r="AL96" i="15"/>
  <c r="AP96" i="15" s="1"/>
  <c r="AU96" i="11" s="1"/>
  <c r="AM94" i="15"/>
  <c r="AN95" i="11"/>
  <c r="O15" i="16"/>
  <c r="N15" i="16"/>
  <c r="M15" i="16"/>
  <c r="T206" i="15"/>
  <c r="X206" i="15" s="1"/>
  <c r="AB206" i="11" s="1"/>
  <c r="T205" i="15"/>
  <c r="X205" i="15" s="1"/>
  <c r="AB205" i="11" s="1"/>
  <c r="T203" i="15"/>
  <c r="T202" i="15"/>
  <c r="T201" i="15"/>
  <c r="X201" i="15" s="1"/>
  <c r="AB201" i="11" s="1"/>
  <c r="T199" i="15"/>
  <c r="T197" i="15"/>
  <c r="T185" i="15"/>
  <c r="T184" i="15"/>
  <c r="T183" i="15"/>
  <c r="X183" i="15" s="1"/>
  <c r="AB183" i="11" s="1"/>
  <c r="T182" i="15"/>
  <c r="T179" i="15"/>
  <c r="T177" i="15"/>
  <c r="T176" i="15"/>
  <c r="T175" i="15"/>
  <c r="X175" i="15" s="1"/>
  <c r="AB175" i="11" s="1"/>
  <c r="T174" i="15"/>
  <c r="X174" i="15" s="1"/>
  <c r="AB174" i="11" s="1"/>
  <c r="T167" i="15"/>
  <c r="X167" i="15" s="1"/>
  <c r="AB167" i="11" s="1"/>
  <c r="T166" i="15"/>
  <c r="T165" i="15"/>
  <c r="U154" i="15"/>
  <c r="U140" i="15"/>
  <c r="X140" i="15" s="1"/>
  <c r="AB140" i="11" s="1"/>
  <c r="T135" i="15"/>
  <c r="V129" i="15"/>
  <c r="V128" i="15"/>
  <c r="U128" i="15"/>
  <c r="AS128" i="15" s="1"/>
  <c r="AV128" i="15" s="1"/>
  <c r="T128" i="15"/>
  <c r="T123" i="15"/>
  <c r="U123" i="15"/>
  <c r="AS123" i="15" s="1"/>
  <c r="U122" i="15"/>
  <c r="T121" i="15"/>
  <c r="T119" i="15"/>
  <c r="W113" i="15"/>
  <c r="W112" i="15"/>
  <c r="V112" i="15"/>
  <c r="U112" i="15"/>
  <c r="T112" i="15"/>
  <c r="V101" i="15"/>
  <c r="V109" i="15" s="1"/>
  <c r="V110" i="15" s="1"/>
  <c r="T101" i="15"/>
  <c r="T99" i="15"/>
  <c r="T98" i="15"/>
  <c r="T93" i="15"/>
  <c r="U74" i="15"/>
  <c r="AB4" i="11"/>
  <c r="Z24" i="5"/>
  <c r="Z22" i="5"/>
  <c r="Y22" i="5"/>
  <c r="Y23" i="5"/>
  <c r="Y24" i="5"/>
  <c r="Y21" i="5"/>
  <c r="BB220" i="11"/>
  <c r="AP220" i="15"/>
  <c r="AU220" i="11" s="1"/>
  <c r="AO220" i="15"/>
  <c r="AN220" i="15"/>
  <c r="AM220" i="15"/>
  <c r="AL220" i="15"/>
  <c r="AN220" i="11"/>
  <c r="X220" i="15"/>
  <c r="AB220" i="11" s="1"/>
  <c r="W220" i="15"/>
  <c r="V220" i="15"/>
  <c r="U220" i="15"/>
  <c r="T220" i="15"/>
  <c r="A220" i="15"/>
  <c r="AO216" i="15"/>
  <c r="AN216" i="15"/>
  <c r="AM216" i="15"/>
  <c r="AL216" i="15"/>
  <c r="W216" i="15"/>
  <c r="V216" i="15"/>
  <c r="U216" i="15"/>
  <c r="T216" i="15"/>
  <c r="AP215" i="15"/>
  <c r="AU215" i="11" s="1"/>
  <c r="X215" i="15"/>
  <c r="AB215" i="11" s="1"/>
  <c r="AP214" i="15"/>
  <c r="AU214" i="11" s="1"/>
  <c r="X214" i="15"/>
  <c r="AP213" i="15"/>
  <c r="AU213" i="11" s="1"/>
  <c r="X213" i="15"/>
  <c r="AB213" i="11" s="1"/>
  <c r="AP212" i="15"/>
  <c r="AU212" i="11" s="1"/>
  <c r="X212" i="15"/>
  <c r="AB212" i="11" s="1"/>
  <c r="AN207" i="15"/>
  <c r="AM207" i="15"/>
  <c r="AL207" i="15"/>
  <c r="W207" i="15"/>
  <c r="V207" i="15"/>
  <c r="U207" i="15"/>
  <c r="AP206" i="15"/>
  <c r="AU206" i="11" s="1"/>
  <c r="AP205" i="15"/>
  <c r="AU205" i="11" s="1"/>
  <c r="AP204" i="15"/>
  <c r="AU204" i="11" s="1"/>
  <c r="X204" i="15"/>
  <c r="AB204" i="11" s="1"/>
  <c r="AO203" i="15"/>
  <c r="AO207" i="15" s="1"/>
  <c r="X203" i="15"/>
  <c r="AB203" i="11" s="1"/>
  <c r="AP202" i="15"/>
  <c r="AU202" i="11" s="1"/>
  <c r="X202" i="15"/>
  <c r="AB202" i="11" s="1"/>
  <c r="AP201" i="15"/>
  <c r="AU201" i="11" s="1"/>
  <c r="AP200" i="15"/>
  <c r="AU200" i="11" s="1"/>
  <c r="X200" i="15"/>
  <c r="AB200" i="11" s="1"/>
  <c r="AP199" i="15"/>
  <c r="AU199" i="11" s="1"/>
  <c r="AP198" i="15"/>
  <c r="AU198" i="11" s="1"/>
  <c r="X198" i="15"/>
  <c r="AB198" i="11" s="1"/>
  <c r="AP197" i="15"/>
  <c r="AU197" i="11" s="1"/>
  <c r="AO194" i="15"/>
  <c r="AN194" i="15"/>
  <c r="AM194" i="15"/>
  <c r="AL194" i="15"/>
  <c r="W194" i="15"/>
  <c r="U194" i="15"/>
  <c r="AP193" i="15"/>
  <c r="AU193" i="11" s="1"/>
  <c r="AP192" i="15"/>
  <c r="AU192" i="11" s="1"/>
  <c r="X192" i="15"/>
  <c r="AB192" i="11" s="1"/>
  <c r="AP191" i="15"/>
  <c r="AU191" i="11" s="1"/>
  <c r="X191" i="15"/>
  <c r="AB191" i="11" s="1"/>
  <c r="AP190" i="15"/>
  <c r="AU190" i="11" s="1"/>
  <c r="X190" i="15"/>
  <c r="AB190" i="11" s="1"/>
  <c r="AP189" i="15"/>
  <c r="AU189" i="11" s="1"/>
  <c r="X189" i="15"/>
  <c r="AB189" i="11" s="1"/>
  <c r="AP188" i="15"/>
  <c r="AU188" i="11" s="1"/>
  <c r="X188" i="15"/>
  <c r="AB188" i="11" s="1"/>
  <c r="AP187" i="15"/>
  <c r="AU187" i="11" s="1"/>
  <c r="X187" i="15"/>
  <c r="AB187" i="11" s="1"/>
  <c r="AP186" i="15"/>
  <c r="AU186" i="11" s="1"/>
  <c r="X186" i="15"/>
  <c r="AB186" i="11" s="1"/>
  <c r="AP185" i="15"/>
  <c r="AU185" i="11" s="1"/>
  <c r="X185" i="15"/>
  <c r="AB185" i="11" s="1"/>
  <c r="AP184" i="15"/>
  <c r="AU184" i="11" s="1"/>
  <c r="X184" i="15"/>
  <c r="AB184" i="11" s="1"/>
  <c r="AP183" i="15"/>
  <c r="AU183" i="11" s="1"/>
  <c r="AP182" i="15"/>
  <c r="AU182" i="11" s="1"/>
  <c r="AP181" i="15"/>
  <c r="AU181" i="11" s="1"/>
  <c r="V181" i="15"/>
  <c r="X181" i="15" s="1"/>
  <c r="AB181" i="11" s="1"/>
  <c r="AP180" i="15"/>
  <c r="AU180" i="11" s="1"/>
  <c r="V180" i="15"/>
  <c r="V194" i="15" s="1"/>
  <c r="AP179" i="15"/>
  <c r="AU179" i="11" s="1"/>
  <c r="X179" i="15"/>
  <c r="AB179" i="11" s="1"/>
  <c r="AP178" i="15"/>
  <c r="AU178" i="11" s="1"/>
  <c r="AP177" i="15"/>
  <c r="AU177" i="11" s="1"/>
  <c r="AP176" i="15"/>
  <c r="AU176" i="11" s="1"/>
  <c r="X176" i="15"/>
  <c r="AB176" i="11" s="1"/>
  <c r="AP175" i="15"/>
  <c r="AU175" i="11" s="1"/>
  <c r="AP174" i="15"/>
  <c r="AU174" i="11" s="1"/>
  <c r="AO171" i="15"/>
  <c r="AN171" i="15"/>
  <c r="AM171" i="15"/>
  <c r="W171" i="15"/>
  <c r="V171" i="15"/>
  <c r="U171" i="15"/>
  <c r="AP170" i="15"/>
  <c r="AU170" i="11" s="1"/>
  <c r="AP169" i="15"/>
  <c r="AU169" i="11" s="1"/>
  <c r="X169" i="15"/>
  <c r="AB169" i="11" s="1"/>
  <c r="AP168" i="15"/>
  <c r="AU168" i="11" s="1"/>
  <c r="AP167" i="15"/>
  <c r="AU167" i="11" s="1"/>
  <c r="AP166" i="15"/>
  <c r="AU166" i="11" s="1"/>
  <c r="X165" i="15"/>
  <c r="AB165" i="11" s="1"/>
  <c r="AP164" i="15"/>
  <c r="AU164" i="11" s="1"/>
  <c r="AP163" i="15"/>
  <c r="AU163" i="11" s="1"/>
  <c r="X163" i="15"/>
  <c r="AB163" i="11" s="1"/>
  <c r="AP162" i="15"/>
  <c r="AU162" i="11" s="1"/>
  <c r="X162" i="15"/>
  <c r="AB162" i="11" s="1"/>
  <c r="AO159" i="15"/>
  <c r="AN159" i="15"/>
  <c r="AM159" i="15"/>
  <c r="AL159" i="15"/>
  <c r="AP158" i="15"/>
  <c r="AU158" i="11" s="1"/>
  <c r="X158" i="15"/>
  <c r="AB158" i="11" s="1"/>
  <c r="AP157" i="15"/>
  <c r="AU157" i="11" s="1"/>
  <c r="AP156" i="15"/>
  <c r="AU156" i="11" s="1"/>
  <c r="AP155" i="15"/>
  <c r="AU155" i="11" s="1"/>
  <c r="X155" i="15"/>
  <c r="AB155" i="11" s="1"/>
  <c r="AP154" i="15"/>
  <c r="AU154" i="11" s="1"/>
  <c r="AP153" i="15"/>
  <c r="AU153" i="11" s="1"/>
  <c r="AP152" i="15"/>
  <c r="AU152" i="11" s="1"/>
  <c r="X152" i="15"/>
  <c r="AB152" i="11" s="1"/>
  <c r="AO149" i="15"/>
  <c r="AN149" i="15"/>
  <c r="AM149" i="15"/>
  <c r="W149" i="15"/>
  <c r="V149" i="15"/>
  <c r="U149" i="15"/>
  <c r="AP147" i="15"/>
  <c r="AU147" i="11" s="1"/>
  <c r="X147" i="15"/>
  <c r="AB147" i="11" s="1"/>
  <c r="AP144" i="15"/>
  <c r="AU144" i="11" s="1"/>
  <c r="AO141" i="15"/>
  <c r="AN141" i="15"/>
  <c r="W141" i="15"/>
  <c r="V141" i="15"/>
  <c r="AM140" i="15"/>
  <c r="AP137" i="15"/>
  <c r="AU137" i="11" s="1"/>
  <c r="X137" i="15"/>
  <c r="AB137" i="11" s="1"/>
  <c r="AP136" i="15"/>
  <c r="AU136" i="11" s="1"/>
  <c r="X136" i="15"/>
  <c r="AB136" i="11" s="1"/>
  <c r="AP135" i="15"/>
  <c r="AU135" i="11" s="1"/>
  <c r="X135" i="15"/>
  <c r="AB135" i="11" s="1"/>
  <c r="AP131" i="15"/>
  <c r="AU131" i="11" s="1"/>
  <c r="X131" i="15"/>
  <c r="AB131" i="11" s="1"/>
  <c r="AP130" i="15"/>
  <c r="AU130" i="11" s="1"/>
  <c r="X130" i="15"/>
  <c r="AB130" i="11" s="1"/>
  <c r="AO125" i="15"/>
  <c r="AO127" i="15" s="1"/>
  <c r="AN125" i="15"/>
  <c r="AM125" i="15"/>
  <c r="AL125" i="15"/>
  <c r="V125" i="15"/>
  <c r="V126" i="15" s="1"/>
  <c r="AP124" i="15"/>
  <c r="AU124" i="11" s="1"/>
  <c r="T124" i="15"/>
  <c r="T154" i="15" s="1"/>
  <c r="AP123" i="15"/>
  <c r="AU123" i="11" s="1"/>
  <c r="W123" i="15"/>
  <c r="W125" i="15" s="1"/>
  <c r="W126" i="15" s="1"/>
  <c r="V123" i="15"/>
  <c r="AP122" i="15"/>
  <c r="AU122" i="11" s="1"/>
  <c r="AP121" i="15"/>
  <c r="AU121" i="11" s="1"/>
  <c r="AP120" i="15"/>
  <c r="AU120" i="11" s="1"/>
  <c r="X120" i="15"/>
  <c r="AB120" i="11" s="1"/>
  <c r="AP119" i="15"/>
  <c r="AU119" i="11" s="1"/>
  <c r="X119" i="15"/>
  <c r="AB119" i="11" s="1"/>
  <c r="AP115" i="15"/>
  <c r="AU115" i="11" s="1"/>
  <c r="X115" i="15"/>
  <c r="AB115" i="11" s="1"/>
  <c r="AP114" i="15"/>
  <c r="AU114" i="11" s="1"/>
  <c r="X114" i="15"/>
  <c r="AB114" i="11" s="1"/>
  <c r="AO112" i="15"/>
  <c r="AN112" i="15"/>
  <c r="AM112" i="15"/>
  <c r="AL112" i="15"/>
  <c r="AO109" i="15"/>
  <c r="AO111" i="15" s="1"/>
  <c r="W109" i="15"/>
  <c r="W110" i="15" s="1"/>
  <c r="U109" i="15"/>
  <c r="U110" i="15" s="1"/>
  <c r="AP108" i="15"/>
  <c r="AU108" i="11" s="1"/>
  <c r="X108" i="15"/>
  <c r="AB108" i="11" s="1"/>
  <c r="AP107" i="15"/>
  <c r="AU107" i="11" s="1"/>
  <c r="X107" i="15"/>
  <c r="AB107" i="11" s="1"/>
  <c r="X106" i="15"/>
  <c r="AB106" i="11" s="1"/>
  <c r="AP105" i="15"/>
  <c r="AU105" i="11" s="1"/>
  <c r="X105" i="15"/>
  <c r="AB105" i="11" s="1"/>
  <c r="AP104" i="15"/>
  <c r="AU104" i="11" s="1"/>
  <c r="X104" i="15"/>
  <c r="AB104" i="11" s="1"/>
  <c r="AP103" i="15"/>
  <c r="AU103" i="11" s="1"/>
  <c r="X103" i="15"/>
  <c r="AB103" i="11" s="1"/>
  <c r="X102" i="15"/>
  <c r="AB102" i="11" s="1"/>
  <c r="AP101" i="15"/>
  <c r="AU101" i="11" s="1"/>
  <c r="AP100" i="15"/>
  <c r="AU100" i="11" s="1"/>
  <c r="X100" i="15"/>
  <c r="AB100" i="11" s="1"/>
  <c r="AP99" i="15"/>
  <c r="AU99" i="11" s="1"/>
  <c r="X98" i="15"/>
  <c r="AB98" i="11" s="1"/>
  <c r="AP97" i="15"/>
  <c r="AU97" i="11" s="1"/>
  <c r="X97" i="15"/>
  <c r="AB97" i="11" s="1"/>
  <c r="X96" i="15"/>
  <c r="AB96" i="11" s="1"/>
  <c r="AP95" i="15"/>
  <c r="AU95" i="11" s="1"/>
  <c r="X95" i="15"/>
  <c r="AB95" i="11" s="1"/>
  <c r="X94" i="15"/>
  <c r="AB94" i="11" s="1"/>
  <c r="AP93" i="15"/>
  <c r="AU93" i="11" s="1"/>
  <c r="AP88" i="15"/>
  <c r="AU88" i="11" s="1"/>
  <c r="AO88" i="15"/>
  <c r="AN88" i="15"/>
  <c r="AM88" i="15"/>
  <c r="AL88" i="15"/>
  <c r="X88" i="15"/>
  <c r="AB88" i="11" s="1"/>
  <c r="W88" i="15"/>
  <c r="V88" i="15"/>
  <c r="U88" i="15"/>
  <c r="T88" i="15"/>
  <c r="BB134" i="11"/>
  <c r="AO84" i="15"/>
  <c r="AO91" i="15" s="1"/>
  <c r="AO118" i="15" s="1"/>
  <c r="AO134" i="15" s="1"/>
  <c r="AO82" i="15"/>
  <c r="AN82" i="15"/>
  <c r="AM82" i="15"/>
  <c r="AL82" i="15"/>
  <c r="W82" i="15"/>
  <c r="V82" i="15"/>
  <c r="AP81" i="15"/>
  <c r="AU81" i="11" s="1"/>
  <c r="V81" i="15"/>
  <c r="X81" i="15" s="1"/>
  <c r="AB81" i="11" s="1"/>
  <c r="AP80" i="15"/>
  <c r="AU80" i="11" s="1"/>
  <c r="V80" i="15"/>
  <c r="AP79" i="15"/>
  <c r="AU79" i="11" s="1"/>
  <c r="X79" i="15"/>
  <c r="AB79" i="11" s="1"/>
  <c r="AP78" i="15"/>
  <c r="AU78" i="11" s="1"/>
  <c r="X78" i="15"/>
  <c r="AB78" i="11" s="1"/>
  <c r="AP77" i="15"/>
  <c r="AU77" i="11" s="1"/>
  <c r="X77" i="15"/>
  <c r="AB77" i="11" s="1"/>
  <c r="BB76" i="11"/>
  <c r="AP76" i="15"/>
  <c r="AU76" i="11" s="1"/>
  <c r="X76" i="15"/>
  <c r="AB76" i="11" s="1"/>
  <c r="AP75" i="15"/>
  <c r="AU75" i="11" s="1"/>
  <c r="U75" i="15"/>
  <c r="X75" i="15" s="1"/>
  <c r="AB75" i="11" s="1"/>
  <c r="AP74" i="15"/>
  <c r="AU74" i="11" s="1"/>
  <c r="AP73" i="15"/>
  <c r="AU73" i="11" s="1"/>
  <c r="X73" i="15"/>
  <c r="AB73" i="11" s="1"/>
  <c r="AP72" i="15"/>
  <c r="AU72" i="11" s="1"/>
  <c r="T72" i="15"/>
  <c r="X72" i="15" s="1"/>
  <c r="AB72" i="11" s="1"/>
  <c r="AP71" i="15"/>
  <c r="AP70" i="15"/>
  <c r="AU70" i="11" s="1"/>
  <c r="AP69" i="15"/>
  <c r="AU69" i="11" s="1"/>
  <c r="AP68" i="15"/>
  <c r="AU68" i="11" s="1"/>
  <c r="AP67" i="15"/>
  <c r="AO67" i="15"/>
  <c r="AN134" i="11"/>
  <c r="X67" i="15"/>
  <c r="W67" i="15"/>
  <c r="W84" i="15" s="1"/>
  <c r="W91" i="15" s="1"/>
  <c r="W118" i="15" s="1"/>
  <c r="W134" i="15" s="1"/>
  <c r="AO64" i="15"/>
  <c r="AO113" i="15" s="1"/>
  <c r="AN64" i="15"/>
  <c r="AN113" i="15" s="1"/>
  <c r="AM64" i="15"/>
  <c r="AM113" i="15" s="1"/>
  <c r="AL64" i="15"/>
  <c r="AL113" i="15" s="1"/>
  <c r="U63" i="15"/>
  <c r="U129" i="15" s="1"/>
  <c r="AS129" i="15" s="1"/>
  <c r="AV129" i="15" s="1"/>
  <c r="T63" i="15"/>
  <c r="T129" i="15" s="1"/>
  <c r="AO61" i="15"/>
  <c r="AN61" i="15"/>
  <c r="AM61" i="15"/>
  <c r="AL61" i="15"/>
  <c r="W61" i="15"/>
  <c r="W64" i="15" s="1"/>
  <c r="V61" i="15"/>
  <c r="V64" i="15" s="1"/>
  <c r="U61" i="15"/>
  <c r="U64" i="15" s="1"/>
  <c r="U113" i="15" s="1"/>
  <c r="AS113" i="15" s="1"/>
  <c r="AV113" i="15" s="1"/>
  <c r="T61" i="15"/>
  <c r="T64" i="15" s="1"/>
  <c r="AP60" i="15"/>
  <c r="AU60" i="11" s="1"/>
  <c r="X60" i="15"/>
  <c r="AB60" i="11" s="1"/>
  <c r="AP59" i="15"/>
  <c r="AU59" i="11" s="1"/>
  <c r="X59" i="15"/>
  <c r="AB59" i="11" s="1"/>
  <c r="AP58" i="15"/>
  <c r="AU58" i="11" s="1"/>
  <c r="X58" i="15"/>
  <c r="AB58" i="11" s="1"/>
  <c r="AP57" i="15"/>
  <c r="AU57" i="11" s="1"/>
  <c r="X57" i="15"/>
  <c r="AB57" i="11" s="1"/>
  <c r="AP56" i="15"/>
  <c r="AU56" i="11" s="1"/>
  <c r="X56" i="15"/>
  <c r="AB56" i="11" s="1"/>
  <c r="AP55" i="15"/>
  <c r="AU55" i="11" s="1"/>
  <c r="X55" i="15"/>
  <c r="AB55" i="11" s="1"/>
  <c r="AP54" i="15"/>
  <c r="AU54" i="11" s="1"/>
  <c r="X54" i="15"/>
  <c r="AB54" i="11" s="1"/>
  <c r="AP53" i="15"/>
  <c r="AU53" i="11" s="1"/>
  <c r="X53" i="15"/>
  <c r="AB53" i="11" s="1"/>
  <c r="AP52" i="15"/>
  <c r="AU52" i="11" s="1"/>
  <c r="X52" i="15"/>
  <c r="AB52" i="11" s="1"/>
  <c r="AP51" i="15"/>
  <c r="AU51" i="11" s="1"/>
  <c r="X51" i="15"/>
  <c r="AB51" i="11" s="1"/>
  <c r="AP50" i="15"/>
  <c r="AU50" i="11" s="1"/>
  <c r="X50" i="15"/>
  <c r="AB50" i="11" s="1"/>
  <c r="AP49" i="15"/>
  <c r="AU49" i="11" s="1"/>
  <c r="X49" i="15"/>
  <c r="AB49" i="11" s="1"/>
  <c r="AP48" i="15"/>
  <c r="AU48" i="11" s="1"/>
  <c r="X48" i="15"/>
  <c r="AB48" i="11" s="1"/>
  <c r="AP47" i="15"/>
  <c r="AU47" i="11" s="1"/>
  <c r="X47" i="15"/>
  <c r="AB47" i="11" s="1"/>
  <c r="AP46" i="15"/>
  <c r="AU46" i="11" s="1"/>
  <c r="X46" i="15"/>
  <c r="AB46" i="11" s="1"/>
  <c r="AP45" i="15"/>
  <c r="AU45" i="11" s="1"/>
  <c r="X45" i="15"/>
  <c r="AB45" i="11" s="1"/>
  <c r="AP44" i="15"/>
  <c r="AU44" i="11" s="1"/>
  <c r="X44" i="15"/>
  <c r="AB44" i="11" s="1"/>
  <c r="AP43" i="15"/>
  <c r="AU43" i="11" s="1"/>
  <c r="X43" i="15"/>
  <c r="AB43" i="11" s="1"/>
  <c r="AP42" i="15"/>
  <c r="AU42" i="11" s="1"/>
  <c r="X42" i="15"/>
  <c r="AB42" i="11" s="1"/>
  <c r="AP41" i="15"/>
  <c r="AU41" i="11" s="1"/>
  <c r="X41" i="15"/>
  <c r="AB41" i="11" s="1"/>
  <c r="AP40" i="15"/>
  <c r="AU40" i="11" s="1"/>
  <c r="X40" i="15"/>
  <c r="AB40" i="11" s="1"/>
  <c r="AP39" i="15"/>
  <c r="AU39" i="11" s="1"/>
  <c r="X39" i="15"/>
  <c r="AB39" i="11" s="1"/>
  <c r="BB38" i="11"/>
  <c r="AP38" i="15"/>
  <c r="AU38" i="11" s="1"/>
  <c r="AO38" i="15"/>
  <c r="X38" i="15"/>
  <c r="AB38" i="11" s="1"/>
  <c r="W38" i="15"/>
  <c r="AO36" i="15"/>
  <c r="AO128" i="15" s="1"/>
  <c r="AN36" i="15"/>
  <c r="AN128" i="15" s="1"/>
  <c r="AM36" i="15"/>
  <c r="AM128" i="15" s="1"/>
  <c r="AL36" i="15"/>
  <c r="AL128" i="15" s="1"/>
  <c r="W36" i="15"/>
  <c r="W128" i="15" s="1"/>
  <c r="V36" i="15"/>
  <c r="V63" i="15" s="1"/>
  <c r="U36" i="15"/>
  <c r="T36" i="15"/>
  <c r="AP35" i="15"/>
  <c r="AU35" i="11" s="1"/>
  <c r="X35" i="15"/>
  <c r="AB35" i="11" s="1"/>
  <c r="AP34" i="15"/>
  <c r="AU34" i="11" s="1"/>
  <c r="X34" i="15"/>
  <c r="AB34" i="11" s="1"/>
  <c r="AP33" i="15"/>
  <c r="AU33" i="11" s="1"/>
  <c r="X33" i="15"/>
  <c r="AB33" i="11" s="1"/>
  <c r="AP32" i="15"/>
  <c r="AU32" i="11" s="1"/>
  <c r="X32" i="15"/>
  <c r="AB32" i="11" s="1"/>
  <c r="AP31" i="15"/>
  <c r="AU31" i="11" s="1"/>
  <c r="X31" i="15"/>
  <c r="AB31" i="11" s="1"/>
  <c r="AP30" i="15"/>
  <c r="AU30" i="11" s="1"/>
  <c r="X30" i="15"/>
  <c r="AB30" i="11" s="1"/>
  <c r="AP29" i="15"/>
  <c r="AU29" i="11" s="1"/>
  <c r="X29" i="15"/>
  <c r="AB29" i="11" s="1"/>
  <c r="AP28" i="15"/>
  <c r="AU28" i="11" s="1"/>
  <c r="X28" i="15"/>
  <c r="AB28" i="11" s="1"/>
  <c r="AP27" i="15"/>
  <c r="AU27" i="11" s="1"/>
  <c r="AK27" i="15"/>
  <c r="X27" i="15"/>
  <c r="AB27" i="11" s="1"/>
  <c r="BB26" i="11"/>
  <c r="AP26" i="15"/>
  <c r="AU26" i="11" s="1"/>
  <c r="AO26" i="15"/>
  <c r="X26" i="15"/>
  <c r="AB26" i="11" s="1"/>
  <c r="W26" i="15"/>
  <c r="AP25" i="15"/>
  <c r="AU25" i="11" s="1"/>
  <c r="X25" i="15"/>
  <c r="AB25" i="11" s="1"/>
  <c r="AP24" i="15"/>
  <c r="AU24" i="11" s="1"/>
  <c r="X24" i="15"/>
  <c r="AB24" i="11" s="1"/>
  <c r="AP23" i="15"/>
  <c r="AU23" i="11" s="1"/>
  <c r="X23" i="15"/>
  <c r="AB23" i="11" s="1"/>
  <c r="AP22" i="15"/>
  <c r="AU22" i="11" s="1"/>
  <c r="X22" i="15"/>
  <c r="AB22" i="11" s="1"/>
  <c r="AP21" i="15"/>
  <c r="AU21" i="11" s="1"/>
  <c r="X21" i="15"/>
  <c r="AB21" i="11" s="1"/>
  <c r="AL17" i="15"/>
  <c r="U17" i="15"/>
  <c r="BB16" i="11"/>
  <c r="BB15" i="11"/>
  <c r="BB14" i="11"/>
  <c r="BB13" i="11"/>
  <c r="BB12" i="11"/>
  <c r="BB11" i="11"/>
  <c r="BB10" i="11"/>
  <c r="T9" i="15"/>
  <c r="AB9" i="11" s="1"/>
  <c r="BB8" i="11"/>
  <c r="BB7" i="11"/>
  <c r="T6" i="15"/>
  <c r="AB6" i="11" s="1"/>
  <c r="T5" i="15"/>
  <c r="AB5" i="11" s="1"/>
  <c r="BB4" i="11"/>
  <c r="AL3" i="15"/>
  <c r="J29" i="14"/>
  <c r="AM21" i="11"/>
  <c r="AM22" i="11"/>
  <c r="AM23" i="11"/>
  <c r="AM24" i="11"/>
  <c r="AM25" i="11"/>
  <c r="AM26" i="11"/>
  <c r="AM27" i="11"/>
  <c r="AM28" i="11"/>
  <c r="AM29" i="11"/>
  <c r="AM30" i="11"/>
  <c r="AM31" i="11"/>
  <c r="AM32" i="11"/>
  <c r="AM33" i="11"/>
  <c r="AM34" i="11"/>
  <c r="AM35" i="11"/>
  <c r="AM36" i="11"/>
  <c r="AM37" i="11"/>
  <c r="AM38" i="11"/>
  <c r="AM39" i="11"/>
  <c r="AM40" i="11"/>
  <c r="AM41" i="11"/>
  <c r="AM42" i="11"/>
  <c r="AM43" i="11"/>
  <c r="AM45" i="11"/>
  <c r="AM46" i="11"/>
  <c r="AM47" i="11"/>
  <c r="AM48" i="11"/>
  <c r="AM49" i="11"/>
  <c r="AM51" i="11"/>
  <c r="AM52" i="11"/>
  <c r="AM53" i="11"/>
  <c r="AM54" i="11"/>
  <c r="AM55" i="11"/>
  <c r="AM56" i="11"/>
  <c r="AM57" i="11"/>
  <c r="AM58" i="11"/>
  <c r="AM59" i="11"/>
  <c r="AM60" i="11"/>
  <c r="AM62" i="11"/>
  <c r="AM66" i="11"/>
  <c r="AM67" i="11"/>
  <c r="AM72" i="11"/>
  <c r="AM73" i="11"/>
  <c r="AM74" i="11"/>
  <c r="AM75" i="11"/>
  <c r="AM76" i="11"/>
  <c r="AM77" i="11"/>
  <c r="AM78" i="11"/>
  <c r="AM79" i="11"/>
  <c r="AM80" i="11"/>
  <c r="AM81" i="11"/>
  <c r="AM84" i="11"/>
  <c r="AM85" i="11"/>
  <c r="AM86" i="11"/>
  <c r="AM87" i="11"/>
  <c r="AM88" i="11"/>
  <c r="AM91" i="11"/>
  <c r="AM93" i="11"/>
  <c r="AM94" i="11"/>
  <c r="AM96" i="11"/>
  <c r="AM97" i="11"/>
  <c r="AM98" i="11"/>
  <c r="AM99" i="11"/>
  <c r="AM100" i="11"/>
  <c r="AM101" i="11"/>
  <c r="AM102" i="11"/>
  <c r="AM103" i="11"/>
  <c r="AM104" i="11"/>
  <c r="AM105" i="11"/>
  <c r="AM106" i="11"/>
  <c r="AM107" i="11"/>
  <c r="AM108" i="11"/>
  <c r="AM114" i="11"/>
  <c r="AM115" i="11"/>
  <c r="AM117" i="11"/>
  <c r="AM118" i="11"/>
  <c r="AM119" i="11"/>
  <c r="AM120" i="11"/>
  <c r="AM121" i="11"/>
  <c r="AM122" i="11"/>
  <c r="AM123" i="11"/>
  <c r="AM124" i="11"/>
  <c r="AM130" i="11"/>
  <c r="AM131" i="11"/>
  <c r="AM133" i="11"/>
  <c r="AM134" i="11"/>
  <c r="AM135" i="11"/>
  <c r="AM136" i="11"/>
  <c r="AM137" i="11"/>
  <c r="AM140" i="11"/>
  <c r="AM142" i="11"/>
  <c r="AM143" i="11"/>
  <c r="AM147" i="11"/>
  <c r="AM148" i="11"/>
  <c r="AM150" i="11"/>
  <c r="AM151" i="11"/>
  <c r="AM152" i="11"/>
  <c r="AM154" i="11"/>
  <c r="AM155" i="11"/>
  <c r="AM158" i="11"/>
  <c r="AM160" i="11"/>
  <c r="AM161" i="11"/>
  <c r="AM162" i="11"/>
  <c r="AM163" i="11"/>
  <c r="AM165" i="11"/>
  <c r="AM166" i="11"/>
  <c r="AM167" i="11"/>
  <c r="AM168" i="11"/>
  <c r="AM169" i="11"/>
  <c r="AM172" i="11"/>
  <c r="AM173" i="11"/>
  <c r="AM174" i="11"/>
  <c r="AM175" i="11"/>
  <c r="AM176" i="11"/>
  <c r="AM177" i="11"/>
  <c r="AM179" i="11"/>
  <c r="AM180" i="11"/>
  <c r="AM181" i="11"/>
  <c r="AM182" i="11"/>
  <c r="AM183" i="11"/>
  <c r="AM184" i="11"/>
  <c r="AM185" i="11"/>
  <c r="AM186" i="11"/>
  <c r="AM187" i="11"/>
  <c r="AM189" i="11"/>
  <c r="AM190" i="11"/>
  <c r="AM191" i="11"/>
  <c r="AM192" i="11"/>
  <c r="AM195" i="11"/>
  <c r="AM196" i="11"/>
  <c r="AM197" i="11"/>
  <c r="AM198" i="11"/>
  <c r="AM199" i="11"/>
  <c r="AM200" i="11"/>
  <c r="AM201" i="11"/>
  <c r="AM202" i="11"/>
  <c r="AM203" i="11"/>
  <c r="AM204" i="11"/>
  <c r="AM205" i="11"/>
  <c r="AM206" i="11"/>
  <c r="AM207" i="11"/>
  <c r="AM208" i="11"/>
  <c r="AM210" i="11"/>
  <c r="AM211" i="11"/>
  <c r="AM212" i="11"/>
  <c r="AM213" i="11"/>
  <c r="AM214" i="11"/>
  <c r="AM215" i="11"/>
  <c r="AM217" i="11"/>
  <c r="AM219" i="11"/>
  <c r="AM220" i="11"/>
  <c r="AM20" i="11"/>
  <c r="H22" i="14"/>
  <c r="AM112" i="11"/>
  <c r="AK27" i="10"/>
  <c r="AM216" i="11"/>
  <c r="H26" i="2"/>
  <c r="AM188" i="11"/>
  <c r="AM95" i="11"/>
  <c r="AM50" i="11"/>
  <c r="AM44" i="11"/>
  <c r="AJ21" i="11"/>
  <c r="AK21" i="11"/>
  <c r="AL21" i="11"/>
  <c r="AJ22" i="11"/>
  <c r="AK22" i="11"/>
  <c r="AL22" i="11"/>
  <c r="AK23" i="11"/>
  <c r="AL23" i="11"/>
  <c r="AJ24" i="11"/>
  <c r="AK24" i="11"/>
  <c r="AL24" i="11"/>
  <c r="AK25" i="11"/>
  <c r="AL25" i="11"/>
  <c r="AJ26" i="11"/>
  <c r="AK26" i="11"/>
  <c r="AL26" i="11"/>
  <c r="AK27" i="11"/>
  <c r="AL27" i="11"/>
  <c r="AK28" i="11"/>
  <c r="AL28" i="11"/>
  <c r="AK29" i="11"/>
  <c r="AL29" i="11"/>
  <c r="AK30" i="11"/>
  <c r="AL30" i="11"/>
  <c r="AK31" i="11"/>
  <c r="AJ32" i="11"/>
  <c r="AK32" i="11"/>
  <c r="AL32" i="11"/>
  <c r="AK33" i="11"/>
  <c r="AL33" i="11"/>
  <c r="AJ34" i="11"/>
  <c r="AK34" i="11"/>
  <c r="AL34" i="11"/>
  <c r="AJ35" i="11"/>
  <c r="AK35" i="11"/>
  <c r="AL35" i="11"/>
  <c r="AK36" i="11"/>
  <c r="AJ37" i="11"/>
  <c r="AK37" i="11"/>
  <c r="AL37" i="11"/>
  <c r="AK38" i="11"/>
  <c r="AL38" i="11"/>
  <c r="AK39" i="11"/>
  <c r="AL39" i="11"/>
  <c r="AJ40" i="11"/>
  <c r="AK40" i="11"/>
  <c r="AL40" i="11"/>
  <c r="AK41" i="11"/>
  <c r="AL41" i="11"/>
  <c r="AK42" i="11"/>
  <c r="AL42" i="11"/>
  <c r="AK43" i="11"/>
  <c r="AL43" i="11"/>
  <c r="AJ44" i="11"/>
  <c r="AK44" i="11"/>
  <c r="AL44" i="11"/>
  <c r="AK45" i="11"/>
  <c r="AL45" i="11"/>
  <c r="AK46" i="11"/>
  <c r="AL46" i="11"/>
  <c r="AJ47" i="11"/>
  <c r="AK47" i="11"/>
  <c r="AL47" i="11"/>
  <c r="AK48" i="11"/>
  <c r="AL48" i="11"/>
  <c r="AK49" i="11"/>
  <c r="AL49" i="11"/>
  <c r="AL50" i="11"/>
  <c r="AJ51" i="11"/>
  <c r="AK51" i="11"/>
  <c r="AL51" i="11"/>
  <c r="AK52" i="11"/>
  <c r="AL52" i="11"/>
  <c r="AK53" i="11"/>
  <c r="AL53" i="11"/>
  <c r="AK54" i="11"/>
  <c r="AL54" i="11"/>
  <c r="AK55" i="11"/>
  <c r="AL55" i="11"/>
  <c r="AK56" i="11"/>
  <c r="AL56" i="11"/>
  <c r="AK57" i="11"/>
  <c r="AL57" i="11"/>
  <c r="AJ58" i="11"/>
  <c r="AK58" i="11"/>
  <c r="AL58" i="11"/>
  <c r="AJ59" i="11"/>
  <c r="AK59" i="11"/>
  <c r="AL59" i="11"/>
  <c r="AJ60" i="11"/>
  <c r="AK60" i="11"/>
  <c r="AL60" i="11"/>
  <c r="AJ62" i="11"/>
  <c r="AK62" i="11"/>
  <c r="AL62" i="11"/>
  <c r="AJ66" i="11"/>
  <c r="AK66" i="11"/>
  <c r="AL66" i="11"/>
  <c r="AJ67" i="11"/>
  <c r="AK67" i="11"/>
  <c r="AL67" i="11"/>
  <c r="AJ72" i="11"/>
  <c r="AK72" i="11"/>
  <c r="AL72" i="11"/>
  <c r="AJ73" i="11"/>
  <c r="AK73" i="11"/>
  <c r="AL73" i="11"/>
  <c r="AJ74" i="11"/>
  <c r="AK74" i="11"/>
  <c r="AK75" i="11"/>
  <c r="AL75" i="11"/>
  <c r="AK76" i="11"/>
  <c r="AL76" i="11"/>
  <c r="AK77" i="11"/>
  <c r="AL77" i="11"/>
  <c r="AK78" i="11"/>
  <c r="AL78" i="11"/>
  <c r="AK79" i="11"/>
  <c r="AL79" i="11"/>
  <c r="AK80" i="11"/>
  <c r="AL80" i="11"/>
  <c r="AK81" i="11"/>
  <c r="AL81" i="11"/>
  <c r="AJ84" i="11"/>
  <c r="AK84" i="11"/>
  <c r="AL84" i="11"/>
  <c r="AJ85" i="11"/>
  <c r="AK85" i="11"/>
  <c r="AL85" i="11"/>
  <c r="AJ86" i="11"/>
  <c r="AK86" i="11"/>
  <c r="AL86" i="11"/>
  <c r="AJ87" i="11"/>
  <c r="AK87" i="11"/>
  <c r="AL87" i="11"/>
  <c r="AK88" i="11"/>
  <c r="AL88" i="11"/>
  <c r="AJ91" i="11"/>
  <c r="AK91" i="11"/>
  <c r="AL91" i="11"/>
  <c r="AK93" i="11"/>
  <c r="AL93" i="11"/>
  <c r="AK94" i="11"/>
  <c r="AL94" i="11"/>
  <c r="AK95" i="11"/>
  <c r="AL95" i="11"/>
  <c r="AJ96" i="11"/>
  <c r="AK96" i="11"/>
  <c r="AL96" i="11"/>
  <c r="AK97" i="11"/>
  <c r="AL97" i="11"/>
  <c r="AK98" i="11"/>
  <c r="AL98" i="11"/>
  <c r="AK99" i="11"/>
  <c r="AL99" i="11"/>
  <c r="AJ100" i="11"/>
  <c r="AK100" i="11"/>
  <c r="AL100" i="11"/>
  <c r="AK101" i="11"/>
  <c r="AL101" i="11"/>
  <c r="AK102" i="11"/>
  <c r="AL102" i="11"/>
  <c r="AJ103" i="11"/>
  <c r="AK103" i="11"/>
  <c r="AL103" i="11"/>
  <c r="AJ104" i="11"/>
  <c r="AK104" i="11"/>
  <c r="AL104" i="11"/>
  <c r="AJ105" i="11"/>
  <c r="AK105" i="11"/>
  <c r="AL105" i="11"/>
  <c r="AJ106" i="11"/>
  <c r="AK106" i="11"/>
  <c r="AL106" i="11"/>
  <c r="AK107" i="11"/>
  <c r="AL107" i="11"/>
  <c r="AK108" i="11"/>
  <c r="AL108" i="11"/>
  <c r="AK109" i="11"/>
  <c r="AL109" i="11"/>
  <c r="AK110" i="11"/>
  <c r="AL110" i="11"/>
  <c r="AK112" i="11"/>
  <c r="AL112" i="11"/>
  <c r="AJ114" i="11"/>
  <c r="AK114" i="11"/>
  <c r="AL114" i="11"/>
  <c r="AK115" i="11"/>
  <c r="AL115" i="11"/>
  <c r="AJ117" i="11"/>
  <c r="AK117" i="11"/>
  <c r="AL117" i="11"/>
  <c r="AK118" i="11"/>
  <c r="AL118" i="11"/>
  <c r="AK119" i="11"/>
  <c r="AL119" i="11"/>
  <c r="AK120" i="11"/>
  <c r="AL120" i="11"/>
  <c r="AK121" i="11"/>
  <c r="AK122" i="11"/>
  <c r="AL122" i="11"/>
  <c r="AJ124" i="11"/>
  <c r="AK124" i="11"/>
  <c r="AL124" i="11"/>
  <c r="AK128" i="11"/>
  <c r="AK130" i="11"/>
  <c r="AL130" i="11"/>
  <c r="AK131" i="11"/>
  <c r="AL131" i="11"/>
  <c r="AJ133" i="11"/>
  <c r="AK133" i="11"/>
  <c r="AL133" i="11"/>
  <c r="AJ134" i="11"/>
  <c r="AK134" i="11"/>
  <c r="AL134" i="11"/>
  <c r="AL135" i="11"/>
  <c r="AK136" i="11"/>
  <c r="AL136" i="11"/>
  <c r="AJ137" i="11"/>
  <c r="AK138" i="11"/>
  <c r="AK140" i="11"/>
  <c r="AL140" i="11"/>
  <c r="AJ142" i="11"/>
  <c r="AK142" i="11"/>
  <c r="AL142" i="11"/>
  <c r="AK143" i="11"/>
  <c r="AL143" i="11"/>
  <c r="AK146" i="11"/>
  <c r="AK147" i="11"/>
  <c r="AL147" i="11"/>
  <c r="AJ150" i="11"/>
  <c r="AK150" i="11"/>
  <c r="AL150" i="11"/>
  <c r="AK151" i="11"/>
  <c r="AL151" i="11"/>
  <c r="AK152" i="11"/>
  <c r="AL152" i="11"/>
  <c r="AK154" i="11"/>
  <c r="AJ155" i="11"/>
  <c r="AK155" i="11"/>
  <c r="AL155" i="11"/>
  <c r="AJ158" i="11"/>
  <c r="AK158" i="11"/>
  <c r="AL158" i="11"/>
  <c r="AJ160" i="11"/>
  <c r="AK160" i="11"/>
  <c r="AL160" i="11"/>
  <c r="AK161" i="11"/>
  <c r="AL161" i="11"/>
  <c r="AJ162" i="11"/>
  <c r="AK162" i="11"/>
  <c r="AL162" i="11"/>
  <c r="AJ163" i="11"/>
  <c r="AK163" i="11"/>
  <c r="AL163" i="11"/>
  <c r="AJ165" i="11"/>
  <c r="AK165" i="11"/>
  <c r="AL165" i="11"/>
  <c r="AJ166" i="11"/>
  <c r="AK166" i="11"/>
  <c r="AL166" i="11"/>
  <c r="AK167" i="11"/>
  <c r="AL167" i="11"/>
  <c r="AK169" i="11"/>
  <c r="AL169" i="11"/>
  <c r="AJ172" i="11"/>
  <c r="AK172" i="11"/>
  <c r="AL172" i="11"/>
  <c r="AK173" i="11"/>
  <c r="AL173" i="11"/>
  <c r="AK174" i="11"/>
  <c r="AL174" i="11"/>
  <c r="AJ175" i="11"/>
  <c r="AK175" i="11"/>
  <c r="AL175" i="11"/>
  <c r="AK176" i="11"/>
  <c r="AL176" i="11"/>
  <c r="AK177" i="11"/>
  <c r="AL177" i="11"/>
  <c r="AK178" i="11"/>
  <c r="AK179" i="11"/>
  <c r="AL179" i="11"/>
  <c r="AJ180" i="11"/>
  <c r="AK180" i="11"/>
  <c r="AL180" i="11"/>
  <c r="AK181" i="11"/>
  <c r="AL181" i="11"/>
  <c r="AK182" i="11"/>
  <c r="AL182" i="11"/>
  <c r="AK183" i="11"/>
  <c r="AL183" i="11"/>
  <c r="AK184" i="11"/>
  <c r="AL184" i="11"/>
  <c r="AK185" i="11"/>
  <c r="AL185" i="11"/>
  <c r="AK186" i="11"/>
  <c r="AL186" i="11"/>
  <c r="AK187" i="11"/>
  <c r="AL187" i="11"/>
  <c r="AJ189" i="11"/>
  <c r="AK189" i="11"/>
  <c r="AL189" i="11"/>
  <c r="AJ190" i="11"/>
  <c r="AK190" i="11"/>
  <c r="AL190" i="11"/>
  <c r="AJ191" i="11"/>
  <c r="AK191" i="11"/>
  <c r="AL191" i="11"/>
  <c r="AK192" i="11"/>
  <c r="AL192" i="11"/>
  <c r="AJ195" i="11"/>
  <c r="AK195" i="11"/>
  <c r="AL195" i="11"/>
  <c r="AK196" i="11"/>
  <c r="AL196" i="11"/>
  <c r="AK197" i="11"/>
  <c r="AL197" i="11"/>
  <c r="AK198" i="11"/>
  <c r="AL198" i="11"/>
  <c r="AK199" i="11"/>
  <c r="AL199" i="11"/>
  <c r="AK200" i="11"/>
  <c r="AL200" i="11"/>
  <c r="AK201" i="11"/>
  <c r="AL201" i="11"/>
  <c r="AK202" i="11"/>
  <c r="AK203" i="11"/>
  <c r="AL203" i="11"/>
  <c r="AK204" i="11"/>
  <c r="AL204" i="11"/>
  <c r="AK205" i="11"/>
  <c r="AL205" i="11"/>
  <c r="AK206" i="11"/>
  <c r="AL206" i="11"/>
  <c r="AK207" i="11"/>
  <c r="AJ208" i="11"/>
  <c r="AK208" i="11"/>
  <c r="AL208" i="11"/>
  <c r="AJ210" i="11"/>
  <c r="AK210" i="11"/>
  <c r="AL210" i="11"/>
  <c r="AJ211" i="11"/>
  <c r="AK211" i="11"/>
  <c r="AL211" i="11"/>
  <c r="AK212" i="11"/>
  <c r="AL212" i="11"/>
  <c r="AJ213" i="11"/>
  <c r="AK213" i="11"/>
  <c r="AL213" i="11"/>
  <c r="AJ214" i="11"/>
  <c r="AK214" i="11"/>
  <c r="AL214" i="11"/>
  <c r="AK215" i="11"/>
  <c r="AL215" i="11"/>
  <c r="AK216" i="11"/>
  <c r="AL216" i="11"/>
  <c r="AJ217" i="11"/>
  <c r="AK217" i="11"/>
  <c r="AL217" i="11"/>
  <c r="AJ219" i="11"/>
  <c r="AK219" i="11"/>
  <c r="AL219" i="11"/>
  <c r="AJ220" i="11"/>
  <c r="AK220" i="11"/>
  <c r="AL220" i="11"/>
  <c r="AL20" i="11"/>
  <c r="AK20" i="11"/>
  <c r="AJ20" i="11"/>
  <c r="H15" i="14"/>
  <c r="D4" i="14"/>
  <c r="I45" i="14" s="1"/>
  <c r="J45" i="14" s="1"/>
  <c r="AK27" i="9"/>
  <c r="AL202" i="11"/>
  <c r="AL188" i="11"/>
  <c r="AL137" i="11"/>
  <c r="AL31" i="11"/>
  <c r="H10" i="14"/>
  <c r="J28" i="14"/>
  <c r="D3" i="14"/>
  <c r="I36" i="14" s="1"/>
  <c r="J36" i="14" s="1"/>
  <c r="AK27" i="4"/>
  <c r="AK188" i="11"/>
  <c r="AK137" i="11"/>
  <c r="AK135" i="11"/>
  <c r="AK50" i="11"/>
  <c r="AG122" i="3"/>
  <c r="AJ135" i="3"/>
  <c r="AJ135" i="11" s="1"/>
  <c r="AJ206" i="3"/>
  <c r="AJ206" i="11" s="1"/>
  <c r="AJ205" i="3"/>
  <c r="AJ205" i="11" s="1"/>
  <c r="AJ203" i="3"/>
  <c r="AJ203" i="11" s="1"/>
  <c r="AJ202" i="3"/>
  <c r="AJ202" i="11" s="1"/>
  <c r="D2" i="14"/>
  <c r="I27" i="14" s="1"/>
  <c r="J27" i="14" s="1"/>
  <c r="AH101" i="3"/>
  <c r="AF101" i="3"/>
  <c r="AF99" i="3"/>
  <c r="AJ99" i="3" s="1"/>
  <c r="AJ99" i="11" s="1"/>
  <c r="AF94" i="3"/>
  <c r="AF17" i="3"/>
  <c r="AJ220" i="3"/>
  <c r="AI220" i="3"/>
  <c r="AH220" i="3"/>
  <c r="AG220" i="3"/>
  <c r="AF220" i="3"/>
  <c r="AI216" i="3"/>
  <c r="AH216" i="3"/>
  <c r="AG216" i="3"/>
  <c r="AF216" i="3"/>
  <c r="AJ215" i="3"/>
  <c r="AJ215" i="11" s="1"/>
  <c r="AJ214" i="3"/>
  <c r="AJ213" i="3"/>
  <c r="AJ212" i="3"/>
  <c r="E26" i="2" s="1"/>
  <c r="AI207" i="3"/>
  <c r="AH207" i="3"/>
  <c r="AG207" i="3"/>
  <c r="AJ204" i="3"/>
  <c r="AJ204" i="11" s="1"/>
  <c r="AJ201" i="3"/>
  <c r="AJ201" i="11" s="1"/>
  <c r="AJ200" i="3"/>
  <c r="AJ200" i="11" s="1"/>
  <c r="AJ199" i="3"/>
  <c r="AJ199" i="11" s="1"/>
  <c r="AJ198" i="3"/>
  <c r="AJ198" i="11" s="1"/>
  <c r="AI194" i="3"/>
  <c r="AG194" i="3"/>
  <c r="AJ192" i="3"/>
  <c r="AJ192" i="11" s="1"/>
  <c r="AJ191" i="3"/>
  <c r="AJ190" i="3"/>
  <c r="AJ189" i="3"/>
  <c r="AJ188" i="3"/>
  <c r="AJ188" i="11" s="1"/>
  <c r="AJ187" i="3"/>
  <c r="AJ187" i="11" s="1"/>
  <c r="AJ186" i="3"/>
  <c r="AJ186" i="11" s="1"/>
  <c r="AJ185" i="3"/>
  <c r="AJ185" i="11" s="1"/>
  <c r="AJ184" i="3"/>
  <c r="AJ184" i="11" s="1"/>
  <c r="AJ183" i="3"/>
  <c r="AJ183" i="11" s="1"/>
  <c r="AJ182" i="3"/>
  <c r="AJ182" i="11" s="1"/>
  <c r="AJ181" i="3"/>
  <c r="AJ181" i="11" s="1"/>
  <c r="AJ180" i="3"/>
  <c r="AJ179" i="3"/>
  <c r="AJ179" i="11" s="1"/>
  <c r="AJ177" i="3"/>
  <c r="AJ177" i="11" s="1"/>
  <c r="AJ176" i="3"/>
  <c r="AJ176" i="11" s="1"/>
  <c r="AJ175" i="3"/>
  <c r="AJ174" i="3"/>
  <c r="AJ174" i="11" s="1"/>
  <c r="AI171" i="3"/>
  <c r="AH171" i="3"/>
  <c r="AG171" i="3"/>
  <c r="AJ169" i="3"/>
  <c r="AJ169" i="11" s="1"/>
  <c r="AJ167" i="3"/>
  <c r="AJ167" i="11" s="1"/>
  <c r="AJ166" i="3"/>
  <c r="AJ165" i="3"/>
  <c r="AJ163" i="3"/>
  <c r="AJ162" i="3"/>
  <c r="AJ158" i="3"/>
  <c r="AJ155" i="3"/>
  <c r="AJ152" i="3"/>
  <c r="AJ152" i="11" s="1"/>
  <c r="AI149" i="3"/>
  <c r="AH149" i="3"/>
  <c r="AG149" i="3"/>
  <c r="AJ147" i="3"/>
  <c r="AJ147" i="11" s="1"/>
  <c r="AI141" i="3"/>
  <c r="AH141" i="3"/>
  <c r="AG140" i="3"/>
  <c r="AG141" i="3" s="1"/>
  <c r="AJ137" i="3"/>
  <c r="AJ136" i="3"/>
  <c r="AJ136" i="11" s="1"/>
  <c r="AJ131" i="3"/>
  <c r="AJ131" i="11" s="1"/>
  <c r="AJ130" i="3"/>
  <c r="AJ130" i="11" s="1"/>
  <c r="AF124" i="3"/>
  <c r="AJ124" i="3" s="1"/>
  <c r="AI123" i="3"/>
  <c r="AI125" i="3" s="1"/>
  <c r="AI126" i="3" s="1"/>
  <c r="AH125" i="3"/>
  <c r="AH126" i="3" s="1"/>
  <c r="AG123" i="3"/>
  <c r="AF123" i="3"/>
  <c r="AJ120" i="3"/>
  <c r="AJ120" i="11" s="1"/>
  <c r="AJ115" i="3"/>
  <c r="AJ115" i="11" s="1"/>
  <c r="AJ114" i="3"/>
  <c r="AI112" i="3"/>
  <c r="AH112" i="3"/>
  <c r="AG112" i="3"/>
  <c r="AJ112" i="3"/>
  <c r="AJ112" i="11" s="1"/>
  <c r="AI109" i="3"/>
  <c r="AI110" i="3" s="1"/>
  <c r="AG109" i="3"/>
  <c r="AG110" i="3" s="1"/>
  <c r="AJ108" i="3"/>
  <c r="AJ108" i="11" s="1"/>
  <c r="AJ107" i="3"/>
  <c r="AJ107" i="11" s="1"/>
  <c r="AJ106" i="3"/>
  <c r="AJ105" i="3"/>
  <c r="AJ104" i="3"/>
  <c r="AJ103" i="3"/>
  <c r="AJ102" i="3"/>
  <c r="AJ102" i="11" s="1"/>
  <c r="AJ100" i="3"/>
  <c r="AJ97" i="3"/>
  <c r="AJ97" i="11" s="1"/>
  <c r="AJ96" i="3"/>
  <c r="AJ95" i="3"/>
  <c r="AJ95" i="11" s="1"/>
  <c r="AJ94" i="3"/>
  <c r="AJ94" i="11" s="1"/>
  <c r="AJ93" i="3"/>
  <c r="AJ93" i="11" s="1"/>
  <c r="AJ88" i="3"/>
  <c r="AJ88" i="11" s="1"/>
  <c r="AI88" i="3"/>
  <c r="AH88" i="3"/>
  <c r="AG88" i="3"/>
  <c r="AF88" i="3"/>
  <c r="AI82" i="3"/>
  <c r="AH82" i="3"/>
  <c r="AJ81" i="3"/>
  <c r="AJ81" i="11" s="1"/>
  <c r="AJ80" i="3"/>
  <c r="AJ80" i="11" s="1"/>
  <c r="AJ79" i="3"/>
  <c r="AJ79" i="11" s="1"/>
  <c r="AJ78" i="3"/>
  <c r="AJ78" i="11" s="1"/>
  <c r="AJ77" i="3"/>
  <c r="AJ77" i="11" s="1"/>
  <c r="AJ76" i="3"/>
  <c r="AJ76" i="11" s="1"/>
  <c r="AG75" i="3"/>
  <c r="AJ75" i="3" s="1"/>
  <c r="AJ75" i="11" s="1"/>
  <c r="AJ74" i="3"/>
  <c r="AJ73" i="3"/>
  <c r="AJ72" i="3"/>
  <c r="AJ67" i="3"/>
  <c r="AJ84" i="3" s="1"/>
  <c r="AJ91" i="3" s="1"/>
  <c r="AJ118" i="3" s="1"/>
  <c r="AJ134" i="3" s="1"/>
  <c r="AI67" i="3"/>
  <c r="AI84" i="3" s="1"/>
  <c r="AI91" i="3" s="1"/>
  <c r="AI118" i="3" s="1"/>
  <c r="AI134" i="3" s="1"/>
  <c r="AI61" i="3"/>
  <c r="AI64" i="3" s="1"/>
  <c r="AI113" i="3" s="1"/>
  <c r="AH61" i="3"/>
  <c r="AH64" i="3" s="1"/>
  <c r="AH113" i="3" s="1"/>
  <c r="AG61" i="3"/>
  <c r="AG64" i="3" s="1"/>
  <c r="AG113" i="3" s="1"/>
  <c r="AF61" i="3"/>
  <c r="AF64" i="3" s="1"/>
  <c r="AJ60" i="3"/>
  <c r="AJ59" i="3"/>
  <c r="AJ58" i="3"/>
  <c r="AJ57" i="3"/>
  <c r="AJ57" i="11" s="1"/>
  <c r="AJ56" i="3"/>
  <c r="AJ56" i="11" s="1"/>
  <c r="AJ55" i="3"/>
  <c r="AJ55" i="11" s="1"/>
  <c r="AJ54" i="3"/>
  <c r="AJ54" i="11" s="1"/>
  <c r="AJ53" i="3"/>
  <c r="AJ53" i="11" s="1"/>
  <c r="AJ52" i="3"/>
  <c r="AJ52" i="11" s="1"/>
  <c r="AJ51" i="3"/>
  <c r="AJ50" i="3"/>
  <c r="AJ50" i="11" s="1"/>
  <c r="AJ49" i="3"/>
  <c r="AJ49" i="11" s="1"/>
  <c r="AJ48" i="3"/>
  <c r="AJ48" i="11" s="1"/>
  <c r="AJ47" i="3"/>
  <c r="AJ46" i="3"/>
  <c r="AJ46" i="11" s="1"/>
  <c r="AJ45" i="3"/>
  <c r="AJ45" i="11" s="1"/>
  <c r="AJ44" i="3"/>
  <c r="AJ43" i="3"/>
  <c r="AJ43" i="11" s="1"/>
  <c r="AJ42" i="3"/>
  <c r="AJ42" i="11" s="1"/>
  <c r="AJ41" i="3"/>
  <c r="AJ41" i="11" s="1"/>
  <c r="AJ40" i="3"/>
  <c r="AJ39" i="3"/>
  <c r="AJ39" i="11" s="1"/>
  <c r="AJ38" i="3"/>
  <c r="AJ38" i="11" s="1"/>
  <c r="AI38" i="3"/>
  <c r="AI36" i="3"/>
  <c r="AI154" i="3" s="1"/>
  <c r="AI159" i="3" s="1"/>
  <c r="AH36" i="3"/>
  <c r="AG36" i="3"/>
  <c r="AF36" i="3"/>
  <c r="AJ35" i="3"/>
  <c r="AJ34" i="3"/>
  <c r="AJ33" i="3"/>
  <c r="AJ33" i="11" s="1"/>
  <c r="AJ32" i="3"/>
  <c r="AJ31" i="3"/>
  <c r="AJ31" i="11" s="1"/>
  <c r="AJ30" i="3"/>
  <c r="AJ30" i="11" s="1"/>
  <c r="AJ29" i="3"/>
  <c r="AJ29" i="11" s="1"/>
  <c r="AJ28" i="3"/>
  <c r="AJ28" i="11" s="1"/>
  <c r="AJ27" i="3"/>
  <c r="AJ27" i="11" s="1"/>
  <c r="AJ26" i="3"/>
  <c r="AI26" i="3"/>
  <c r="AJ25" i="3"/>
  <c r="AJ25" i="11" s="1"/>
  <c r="AJ24" i="3"/>
  <c r="AJ23" i="3"/>
  <c r="AJ23" i="11" s="1"/>
  <c r="AJ22" i="3"/>
  <c r="AJ21" i="3"/>
  <c r="AG17" i="3"/>
  <c r="AN178" i="11" l="1"/>
  <c r="AJ149" i="15"/>
  <c r="AN149" i="11" s="1"/>
  <c r="AV123" i="15"/>
  <c r="AV125" i="15" s="1"/>
  <c r="AS125" i="15"/>
  <c r="X123" i="15"/>
  <c r="AB123" i="11" s="1"/>
  <c r="T113" i="15"/>
  <c r="V111" i="15"/>
  <c r="V113" i="15"/>
  <c r="AP82" i="15"/>
  <c r="AU82" i="11" s="1"/>
  <c r="AU71" i="11"/>
  <c r="AL109" i="15"/>
  <c r="BB174" i="11"/>
  <c r="BB5" i="11"/>
  <c r="AP98" i="15"/>
  <c r="AU98" i="11" s="1"/>
  <c r="AN109" i="15"/>
  <c r="X124" i="15"/>
  <c r="AB124" i="11" s="1"/>
  <c r="X128" i="15"/>
  <c r="AB128" i="11" s="1"/>
  <c r="BB102" i="11"/>
  <c r="X99" i="15"/>
  <c r="AB99" i="11" s="1"/>
  <c r="BB124" i="11"/>
  <c r="BB6" i="11"/>
  <c r="X84" i="15"/>
  <c r="AB67" i="11"/>
  <c r="AP203" i="15"/>
  <c r="AU203" i="11" s="1"/>
  <c r="AO110" i="15"/>
  <c r="AO116" i="15" s="1"/>
  <c r="AM63" i="15"/>
  <c r="AM129" i="15" s="1"/>
  <c r="AP112" i="15"/>
  <c r="AU112" i="11" s="1"/>
  <c r="X199" i="15"/>
  <c r="AB199" i="11" s="1"/>
  <c r="BB101" i="11"/>
  <c r="AN144" i="11"/>
  <c r="BB72" i="11"/>
  <c r="AJ127" i="15"/>
  <c r="AN63" i="15"/>
  <c r="AP84" i="15"/>
  <c r="AU67" i="11"/>
  <c r="X80" i="15"/>
  <c r="AB80" i="11" s="1"/>
  <c r="X101" i="15"/>
  <c r="AB101" i="11" s="1"/>
  <c r="X180" i="15"/>
  <c r="AB180" i="11" s="1"/>
  <c r="BB158" i="11"/>
  <c r="BB175" i="11"/>
  <c r="BB9" i="11"/>
  <c r="AO63" i="15"/>
  <c r="AO129" i="15" s="1"/>
  <c r="AO132" i="15" s="1"/>
  <c r="X216" i="15"/>
  <c r="AB216" i="11" s="1"/>
  <c r="AB214" i="11"/>
  <c r="AJ129" i="15"/>
  <c r="BB169" i="11"/>
  <c r="BB180" i="11"/>
  <c r="BB21" i="11"/>
  <c r="BB22" i="11"/>
  <c r="BB28" i="11"/>
  <c r="U141" i="15"/>
  <c r="BB140" i="11"/>
  <c r="AG209" i="15"/>
  <c r="AG218" i="15" s="1"/>
  <c r="BB166" i="11"/>
  <c r="BB34" i="11"/>
  <c r="BB191" i="11"/>
  <c r="BB182" i="11"/>
  <c r="BB23" i="11"/>
  <c r="BB115" i="11"/>
  <c r="BB42" i="11"/>
  <c r="BB86" i="11"/>
  <c r="BB198" i="11"/>
  <c r="BB25" i="11"/>
  <c r="BB179" i="11"/>
  <c r="U2" i="11"/>
  <c r="N2" i="11"/>
  <c r="BB100" i="11"/>
  <c r="BB41" i="11"/>
  <c r="BB155" i="11"/>
  <c r="BB163" i="11"/>
  <c r="BB204" i="11"/>
  <c r="J30" i="14"/>
  <c r="AJ116" i="10"/>
  <c r="AG159" i="4"/>
  <c r="AJ149" i="9"/>
  <c r="AL149" i="11" s="1"/>
  <c r="AL178" i="11"/>
  <c r="AJ141" i="9"/>
  <c r="AL138" i="11"/>
  <c r="AR149" i="9"/>
  <c r="AL144" i="11"/>
  <c r="AV178" i="9"/>
  <c r="AV194" i="9" s="1"/>
  <c r="AR194" i="9"/>
  <c r="AR141" i="9"/>
  <c r="AV141" i="9"/>
  <c r="AI127" i="9"/>
  <c r="AI132" i="9" s="1"/>
  <c r="AI209" i="9" s="1"/>
  <c r="AI218" i="9" s="1"/>
  <c r="AJ139" i="4"/>
  <c r="AF141" i="4"/>
  <c r="AG209" i="4"/>
  <c r="AG218" i="4" s="1"/>
  <c r="AJ144" i="4"/>
  <c r="AJ149" i="4" s="1"/>
  <c r="AK149" i="11" s="1"/>
  <c r="AF149" i="4"/>
  <c r="AK164" i="11"/>
  <c r="AJ132" i="4"/>
  <c r="R127" i="3"/>
  <c r="R132" i="3" s="1"/>
  <c r="N132" i="3"/>
  <c r="N209" i="3" s="1"/>
  <c r="N218" i="3" s="1"/>
  <c r="AR127" i="3"/>
  <c r="R209" i="3"/>
  <c r="R218" i="3" s="1"/>
  <c r="H209" i="3"/>
  <c r="H218" i="3" s="1"/>
  <c r="L209" i="3"/>
  <c r="L218" i="3" s="1"/>
  <c r="AV25" i="3"/>
  <c r="B209" i="3"/>
  <c r="B218" i="3" s="1"/>
  <c r="F209" i="3"/>
  <c r="F218" i="3" s="1"/>
  <c r="AD153" i="3"/>
  <c r="AA159" i="3"/>
  <c r="AA209" i="3" s="1"/>
  <c r="AA218" i="3" s="1"/>
  <c r="Z126" i="3"/>
  <c r="Z127" i="3"/>
  <c r="AD127" i="3" s="1"/>
  <c r="AD138" i="3"/>
  <c r="AD141" i="3" s="1"/>
  <c r="Z141" i="3"/>
  <c r="AD144" i="3"/>
  <c r="AD149" i="3" s="1"/>
  <c r="Z149" i="3"/>
  <c r="AD164" i="3"/>
  <c r="AD111" i="3"/>
  <c r="AD116" i="3" s="1"/>
  <c r="AD178" i="3"/>
  <c r="AV24" i="3"/>
  <c r="AV155" i="3"/>
  <c r="AV42" i="3"/>
  <c r="AV45" i="3"/>
  <c r="AV51" i="3"/>
  <c r="AV54" i="3"/>
  <c r="AV57" i="3"/>
  <c r="AV187" i="3"/>
  <c r="AV190" i="3"/>
  <c r="AU141" i="3"/>
  <c r="AV147" i="3"/>
  <c r="AV43" i="3"/>
  <c r="AV60" i="3"/>
  <c r="AT141" i="3"/>
  <c r="AV214" i="3"/>
  <c r="AU149" i="3"/>
  <c r="AF154" i="3"/>
  <c r="AV44" i="3"/>
  <c r="AV77" i="3"/>
  <c r="AV131" i="3"/>
  <c r="AV189" i="3"/>
  <c r="AV53" i="3"/>
  <c r="AV56" i="3"/>
  <c r="AV59" i="3"/>
  <c r="AS88" i="3"/>
  <c r="AV158" i="3"/>
  <c r="AS194" i="3"/>
  <c r="AV192" i="3"/>
  <c r="AS216" i="3"/>
  <c r="AV169" i="3"/>
  <c r="AV32" i="3"/>
  <c r="AV23" i="3"/>
  <c r="AV47" i="3"/>
  <c r="AT149" i="3"/>
  <c r="AV215" i="3"/>
  <c r="AJ118" i="11"/>
  <c r="AV33" i="3"/>
  <c r="AV114" i="3"/>
  <c r="AT216" i="3"/>
  <c r="AJ212" i="11"/>
  <c r="AG125" i="3"/>
  <c r="AG126" i="3" s="1"/>
  <c r="AV50" i="3"/>
  <c r="AV48" i="3"/>
  <c r="AJ101" i="3"/>
  <c r="AJ101" i="11" s="1"/>
  <c r="AV55" i="3"/>
  <c r="AV29" i="3"/>
  <c r="AJ122" i="3"/>
  <c r="AJ122" i="11" s="1"/>
  <c r="AH17" i="9"/>
  <c r="AH18" i="9"/>
  <c r="AJ17" i="11"/>
  <c r="AJ111" i="4"/>
  <c r="AJ116" i="4" s="1"/>
  <c r="AF132" i="9"/>
  <c r="AJ111" i="9"/>
  <c r="AJ116" i="9" s="1"/>
  <c r="AF116" i="9"/>
  <c r="AJ126" i="9"/>
  <c r="AJ129" i="9"/>
  <c r="AF149" i="10"/>
  <c r="AJ144" i="10"/>
  <c r="AJ164" i="10"/>
  <c r="AJ178" i="10"/>
  <c r="AJ138" i="10"/>
  <c r="AF141" i="10"/>
  <c r="AG159" i="10"/>
  <c r="AG209" i="10" s="1"/>
  <c r="AG218" i="10" s="1"/>
  <c r="AJ153" i="10"/>
  <c r="AJ127" i="10"/>
  <c r="AJ132" i="10" s="1"/>
  <c r="BB27" i="11"/>
  <c r="BB55" i="11"/>
  <c r="BB49" i="11"/>
  <c r="BB46" i="11"/>
  <c r="BB81" i="11"/>
  <c r="BB78" i="11"/>
  <c r="BB31" i="11"/>
  <c r="BB80" i="11"/>
  <c r="BB77" i="11"/>
  <c r="BB87" i="11"/>
  <c r="BB96" i="11"/>
  <c r="AJ126" i="15"/>
  <c r="AF132" i="15"/>
  <c r="BB47" i="11"/>
  <c r="BB44" i="11"/>
  <c r="AJ111" i="15"/>
  <c r="AJ116" i="15" s="1"/>
  <c r="AF116" i="15"/>
  <c r="BB97" i="11"/>
  <c r="BB181" i="11"/>
  <c r="BB24" i="11"/>
  <c r="BB215" i="11"/>
  <c r="BB137" i="11"/>
  <c r="BB51" i="11"/>
  <c r="BB60" i="11"/>
  <c r="BB35" i="11"/>
  <c r="BB29" i="11"/>
  <c r="BB57" i="11"/>
  <c r="BB54" i="11"/>
  <c r="BB48" i="11"/>
  <c r="BB45" i="11"/>
  <c r="BB52" i="11"/>
  <c r="BB73" i="11"/>
  <c r="AD193" i="17"/>
  <c r="AD194" i="17" s="1"/>
  <c r="Z194" i="17"/>
  <c r="AC127" i="17"/>
  <c r="AD111" i="17"/>
  <c r="AD116" i="17"/>
  <c r="AD156" i="17"/>
  <c r="Z159" i="17"/>
  <c r="Z116" i="17"/>
  <c r="AD159" i="17"/>
  <c r="Z171" i="17"/>
  <c r="AB209" i="17"/>
  <c r="AB218" i="17" s="1"/>
  <c r="AN84" i="11"/>
  <c r="AN118" i="11"/>
  <c r="AN91" i="11"/>
  <c r="AN67" i="11"/>
  <c r="BB118" i="11"/>
  <c r="BB91" i="11"/>
  <c r="BB84" i="11"/>
  <c r="BB95" i="11"/>
  <c r="AN64" i="11"/>
  <c r="AM63" i="11"/>
  <c r="AK113" i="11"/>
  <c r="AU143" i="3"/>
  <c r="AU151" i="3"/>
  <c r="AU161" i="3" s="1"/>
  <c r="AU173" i="3" s="1"/>
  <c r="AU196" i="3" s="1"/>
  <c r="AU61" i="3"/>
  <c r="AU64" i="3" s="1"/>
  <c r="AT207" i="3"/>
  <c r="AV79" i="3"/>
  <c r="AV39" i="3"/>
  <c r="AR61" i="3"/>
  <c r="AR64" i="3" s="1"/>
  <c r="AS61" i="3"/>
  <c r="AS64" i="3" s="1"/>
  <c r="AU109" i="3"/>
  <c r="AU194" i="3"/>
  <c r="AT61" i="3"/>
  <c r="AT64" i="3" s="1"/>
  <c r="AS207" i="3"/>
  <c r="AR36" i="3"/>
  <c r="AR63" i="3" s="1"/>
  <c r="AV35" i="3"/>
  <c r="AR88" i="3"/>
  <c r="AV86" i="3"/>
  <c r="AV88" i="3" s="1"/>
  <c r="AS171" i="3"/>
  <c r="AV204" i="3"/>
  <c r="AS36" i="3"/>
  <c r="AS63" i="3" s="1"/>
  <c r="AV136" i="3"/>
  <c r="AT171" i="3"/>
  <c r="AT36" i="3"/>
  <c r="AT63" i="3" s="1"/>
  <c r="AV30" i="3"/>
  <c r="AU171" i="3"/>
  <c r="AU36" i="3"/>
  <c r="AU63" i="3" s="1"/>
  <c r="AV41" i="3"/>
  <c r="AS149" i="3"/>
  <c r="AR216" i="3"/>
  <c r="AV212" i="3"/>
  <c r="AP125" i="15"/>
  <c r="AU125" i="11" s="1"/>
  <c r="BB213" i="11"/>
  <c r="BB188" i="11"/>
  <c r="BB214" i="11"/>
  <c r="BB185" i="11"/>
  <c r="BB131" i="11"/>
  <c r="BB130" i="11"/>
  <c r="BB114" i="11"/>
  <c r="BB108" i="11"/>
  <c r="BB30" i="11"/>
  <c r="T65" i="15"/>
  <c r="T127" i="15" s="1"/>
  <c r="BB135" i="11"/>
  <c r="U65" i="15"/>
  <c r="BB143" i="11"/>
  <c r="BB98" i="11"/>
  <c r="U69" i="11"/>
  <c r="U70" i="11"/>
  <c r="AP36" i="15"/>
  <c r="BB75" i="11"/>
  <c r="X61" i="15"/>
  <c r="X177" i="15"/>
  <c r="AB177" i="11" s="1"/>
  <c r="BB199" i="11"/>
  <c r="X36" i="15"/>
  <c r="AN65" i="15"/>
  <c r="AN129" i="15"/>
  <c r="W151" i="15"/>
  <c r="W161" i="15" s="1"/>
  <c r="W173" i="15" s="1"/>
  <c r="W196" i="15" s="1"/>
  <c r="W143" i="15"/>
  <c r="X182" i="15"/>
  <c r="AB182" i="11" s="1"/>
  <c r="BB206" i="11"/>
  <c r="AP61" i="15"/>
  <c r="AP113" i="15"/>
  <c r="AU113" i="11" s="1"/>
  <c r="AO143" i="15"/>
  <c r="AO151" i="15"/>
  <c r="AO161" i="15" s="1"/>
  <c r="AO173" i="15" s="1"/>
  <c r="AO196" i="15" s="1"/>
  <c r="AM109" i="15"/>
  <c r="AP94" i="15"/>
  <c r="BB107" i="11"/>
  <c r="BB123" i="11"/>
  <c r="AN113" i="11"/>
  <c r="BB122" i="11"/>
  <c r="BB205" i="11"/>
  <c r="X121" i="15"/>
  <c r="AB121" i="11" s="1"/>
  <c r="BB39" i="11"/>
  <c r="AN109" i="11"/>
  <c r="X122" i="15"/>
  <c r="U125" i="15"/>
  <c r="U126" i="15" s="1"/>
  <c r="AS126" i="15" s="1"/>
  <c r="T17" i="15"/>
  <c r="BB59" i="11"/>
  <c r="BB106" i="11"/>
  <c r="BB190" i="11"/>
  <c r="V65" i="15"/>
  <c r="AN112" i="11"/>
  <c r="BB120" i="11"/>
  <c r="BB136" i="11"/>
  <c r="V154" i="15"/>
  <c r="X166" i="15"/>
  <c r="AB166" i="11" s="1"/>
  <c r="AL148" i="15"/>
  <c r="AP148" i="15" s="1"/>
  <c r="AU148" i="11" s="1"/>
  <c r="AL138" i="15"/>
  <c r="AL145" i="15"/>
  <c r="AL146" i="15"/>
  <c r="AP146" i="15" s="1"/>
  <c r="AU146" i="11" s="1"/>
  <c r="AL139" i="15"/>
  <c r="AP139" i="15" s="1"/>
  <c r="AU139" i="11" s="1"/>
  <c r="X93" i="15"/>
  <c r="T109" i="15"/>
  <c r="T110" i="15" s="1"/>
  <c r="BB40" i="11"/>
  <c r="AN143" i="11"/>
  <c r="W154" i="15"/>
  <c r="W63" i="15"/>
  <c r="BB50" i="11"/>
  <c r="BB58" i="11"/>
  <c r="BB189" i="11"/>
  <c r="BB202" i="11"/>
  <c r="AN125" i="11"/>
  <c r="AN128" i="11"/>
  <c r="BB99" i="11"/>
  <c r="BB33" i="11"/>
  <c r="BB104" i="11"/>
  <c r="BB192" i="11"/>
  <c r="X197" i="15"/>
  <c r="T207" i="15"/>
  <c r="BB201" i="11"/>
  <c r="BB186" i="11"/>
  <c r="AP165" i="15"/>
  <c r="AP194" i="15"/>
  <c r="AU194" i="11" s="1"/>
  <c r="BB165" i="11"/>
  <c r="BB105" i="11"/>
  <c r="BB177" i="11"/>
  <c r="BB79" i="11"/>
  <c r="AP128" i="15"/>
  <c r="AU128" i="11" s="1"/>
  <c r="AL63" i="15"/>
  <c r="BB184" i="11"/>
  <c r="T3" i="15"/>
  <c r="AB3" i="11" s="1"/>
  <c r="BB32" i="11"/>
  <c r="AM65" i="15"/>
  <c r="X112" i="15"/>
  <c r="AB112" i="11" s="1"/>
  <c r="AP127" i="15"/>
  <c r="AU127" i="11" s="1"/>
  <c r="AP126" i="15"/>
  <c r="AU126" i="11" s="1"/>
  <c r="BB43" i="11"/>
  <c r="BB200" i="11"/>
  <c r="BB203" i="11"/>
  <c r="U82" i="15"/>
  <c r="X74" i="15"/>
  <c r="AB74" i="11" s="1"/>
  <c r="T125" i="15"/>
  <c r="T126" i="15" s="1"/>
  <c r="AM141" i="15"/>
  <c r="AP140" i="15"/>
  <c r="AU140" i="11" s="1"/>
  <c r="AP159" i="15"/>
  <c r="AU159" i="11" s="1"/>
  <c r="AP216" i="15"/>
  <c r="AU216" i="11" s="1"/>
  <c r="AP207" i="15"/>
  <c r="AU207" i="11" s="1"/>
  <c r="BB103" i="11"/>
  <c r="BB167" i="11"/>
  <c r="BB183" i="11"/>
  <c r="BB187" i="11"/>
  <c r="BB147" i="11"/>
  <c r="BB176" i="11"/>
  <c r="AK27" i="3"/>
  <c r="AH17" i="3"/>
  <c r="AM109" i="11"/>
  <c r="AM128" i="11"/>
  <c r="AL154" i="11"/>
  <c r="AL168" i="11"/>
  <c r="AL207" i="11"/>
  <c r="AL113" i="11"/>
  <c r="AL74" i="11"/>
  <c r="AL121" i="11"/>
  <c r="AK123" i="11"/>
  <c r="AK129" i="11"/>
  <c r="AK126" i="11"/>
  <c r="AK63" i="11"/>
  <c r="AF121" i="3"/>
  <c r="AK168" i="11"/>
  <c r="AJ216" i="3"/>
  <c r="AJ216" i="11" s="1"/>
  <c r="AH109" i="3"/>
  <c r="AH110" i="3" s="1"/>
  <c r="AF109" i="3"/>
  <c r="AF110" i="3" s="1"/>
  <c r="AJ98" i="3"/>
  <c r="AJ98" i="11" s="1"/>
  <c r="AJ123" i="3"/>
  <c r="AJ123" i="11" s="1"/>
  <c r="AJ61" i="3"/>
  <c r="AJ36" i="3"/>
  <c r="AG82" i="3"/>
  <c r="AF63" i="3"/>
  <c r="AF129" i="3" s="1"/>
  <c r="AF3" i="3"/>
  <c r="AJ3" i="11" s="1"/>
  <c r="AI143" i="3"/>
  <c r="AI151" i="3"/>
  <c r="AI161" i="3" s="1"/>
  <c r="AI173" i="3" s="1"/>
  <c r="AI196" i="3" s="1"/>
  <c r="AJ143" i="3"/>
  <c r="AJ143" i="11" s="1"/>
  <c r="AJ151" i="3"/>
  <c r="AF139" i="3"/>
  <c r="AF207" i="3"/>
  <c r="AF113" i="3"/>
  <c r="AI63" i="3"/>
  <c r="AG116" i="3"/>
  <c r="AG63" i="3"/>
  <c r="AG154" i="3"/>
  <c r="AF138" i="3"/>
  <c r="AF168" i="3"/>
  <c r="AF148" i="3"/>
  <c r="AG153" i="3"/>
  <c r="AF146" i="3"/>
  <c r="AF164" i="3"/>
  <c r="AF145" i="3"/>
  <c r="AF144" i="3"/>
  <c r="AH63" i="3"/>
  <c r="AH154" i="3"/>
  <c r="AH159" i="3" s="1"/>
  <c r="AJ197" i="3"/>
  <c r="AJ140" i="3"/>
  <c r="AJ140" i="11" s="1"/>
  <c r="AH194" i="3"/>
  <c r="AJ119" i="3"/>
  <c r="AJ119" i="11" s="1"/>
  <c r="AV126" i="15" l="1"/>
  <c r="AS132" i="15"/>
  <c r="AJ132" i="15"/>
  <c r="AO209" i="15"/>
  <c r="AO218" i="15" s="1"/>
  <c r="AM132" i="15"/>
  <c r="V159" i="15"/>
  <c r="AB17" i="11"/>
  <c r="T138" i="15"/>
  <c r="AR138" i="15" s="1"/>
  <c r="T164" i="15"/>
  <c r="T178" i="15"/>
  <c r="AR178" i="15" s="1"/>
  <c r="U153" i="15"/>
  <c r="AS153" i="15" s="1"/>
  <c r="T148" i="15"/>
  <c r="AR148" i="15" s="1"/>
  <c r="AV148" i="15" s="1"/>
  <c r="T145" i="15"/>
  <c r="AR145" i="15" s="1"/>
  <c r="AV145" i="15" s="1"/>
  <c r="T146" i="15"/>
  <c r="AR146" i="15" s="1"/>
  <c r="AV146" i="15" s="1"/>
  <c r="T168" i="15"/>
  <c r="AR168" i="15" s="1"/>
  <c r="AV168" i="15" s="1"/>
  <c r="T139" i="15"/>
  <c r="AR139" i="15" s="1"/>
  <c r="AV139" i="15" s="1"/>
  <c r="BB3" i="11"/>
  <c r="AP64" i="15"/>
  <c r="AU64" i="11" s="1"/>
  <c r="AU61" i="11"/>
  <c r="X64" i="15"/>
  <c r="AB64" i="11" s="1"/>
  <c r="AB61" i="11"/>
  <c r="X207" i="15"/>
  <c r="AB207" i="11" s="1"/>
  <c r="AB197" i="11"/>
  <c r="AP63" i="15"/>
  <c r="AU36" i="11"/>
  <c r="X109" i="15"/>
  <c r="AB109" i="11" s="1"/>
  <c r="AB93" i="11"/>
  <c r="AO65" i="15"/>
  <c r="AN111" i="15"/>
  <c r="AN110" i="15"/>
  <c r="AP171" i="15"/>
  <c r="AU171" i="11" s="1"/>
  <c r="AU165" i="11"/>
  <c r="AP109" i="15"/>
  <c r="AU109" i="11" s="1"/>
  <c r="AU94" i="11"/>
  <c r="X63" i="15"/>
  <c r="AB36" i="11"/>
  <c r="W129" i="15"/>
  <c r="W127" i="15"/>
  <c r="X125" i="15"/>
  <c r="AB125" i="11" s="1"/>
  <c r="AB122" i="11"/>
  <c r="AM111" i="15"/>
  <c r="AP111" i="15" s="1"/>
  <c r="AU111" i="11" s="1"/>
  <c r="AM110" i="15"/>
  <c r="AP91" i="15"/>
  <c r="AU84" i="11"/>
  <c r="W159" i="15"/>
  <c r="AL111" i="15"/>
  <c r="AL110" i="15"/>
  <c r="T111" i="15"/>
  <c r="X91" i="15"/>
  <c r="AB84" i="11"/>
  <c r="T2" i="15"/>
  <c r="AL2" i="15" s="1"/>
  <c r="BB2" i="11" s="1"/>
  <c r="I5" i="2"/>
  <c r="BB17" i="11"/>
  <c r="U71" i="11"/>
  <c r="AF2" i="15"/>
  <c r="AB2" i="11"/>
  <c r="AJ141" i="4"/>
  <c r="AK139" i="11"/>
  <c r="AK144" i="11"/>
  <c r="Z132" i="3"/>
  <c r="AD126" i="3"/>
  <c r="AD132" i="3" s="1"/>
  <c r="AV36" i="3"/>
  <c r="AV63" i="3" s="1"/>
  <c r="AV216" i="3"/>
  <c r="AJ161" i="3"/>
  <c r="AJ151" i="11"/>
  <c r="AJ207" i="3"/>
  <c r="AJ207" i="11" s="1"/>
  <c r="AJ197" i="11"/>
  <c r="AT65" i="3"/>
  <c r="AR65" i="3"/>
  <c r="AJ109" i="3"/>
  <c r="AJ109" i="11" s="1"/>
  <c r="AJ113" i="3"/>
  <c r="AJ113" i="11" s="1"/>
  <c r="AJ64" i="3"/>
  <c r="AJ64" i="11" s="1"/>
  <c r="AJ61" i="11"/>
  <c r="AJ154" i="3"/>
  <c r="AJ154" i="11" s="1"/>
  <c r="AJ121" i="3"/>
  <c r="AJ121" i="11" s="1"/>
  <c r="AJ146" i="3"/>
  <c r="AJ146" i="11" s="1"/>
  <c r="AJ178" i="3"/>
  <c r="AJ178" i="11" s="1"/>
  <c r="AJ148" i="3"/>
  <c r="AJ148" i="11" s="1"/>
  <c r="AJ168" i="3"/>
  <c r="AJ168" i="11" s="1"/>
  <c r="AJ145" i="3"/>
  <c r="AJ145" i="11" s="1"/>
  <c r="AJ139" i="3"/>
  <c r="AJ139" i="11" s="1"/>
  <c r="AG132" i="9"/>
  <c r="AG209" i="9" s="1"/>
  <c r="AG218" i="9" s="1"/>
  <c r="AJ127" i="9"/>
  <c r="AJ132" i="9" s="1"/>
  <c r="AM153" i="11"/>
  <c r="AM178" i="11"/>
  <c r="AJ141" i="10"/>
  <c r="AM141" i="11" s="1"/>
  <c r="AM138" i="11"/>
  <c r="AM164" i="11"/>
  <c r="AJ149" i="10"/>
  <c r="AM149" i="11" s="1"/>
  <c r="AM144" i="11"/>
  <c r="BB88" i="11"/>
  <c r="BB85" i="11"/>
  <c r="AC132" i="17"/>
  <c r="AC209" i="17" s="1"/>
  <c r="AC218" i="17" s="1"/>
  <c r="AD127" i="17"/>
  <c r="AD132" i="17" s="1"/>
  <c r="Z209" i="17"/>
  <c r="Z218" i="17" s="1"/>
  <c r="AD209" i="17"/>
  <c r="AD218" i="17" s="1"/>
  <c r="AN151" i="11"/>
  <c r="BB151" i="11"/>
  <c r="AN61" i="11"/>
  <c r="AN65" i="11"/>
  <c r="AN63" i="11"/>
  <c r="AM61" i="11"/>
  <c r="AM113" i="11"/>
  <c r="AK61" i="11"/>
  <c r="AU65" i="3"/>
  <c r="AS65" i="3"/>
  <c r="AV61" i="3"/>
  <c r="AV64" i="3" s="1"/>
  <c r="BB36" i="11"/>
  <c r="U127" i="15"/>
  <c r="AS127" i="15" s="1"/>
  <c r="AV127" i="15" s="1"/>
  <c r="U111" i="15"/>
  <c r="AS111" i="15" s="1"/>
  <c r="BB216" i="11"/>
  <c r="T116" i="15"/>
  <c r="BB74" i="11"/>
  <c r="V132" i="15"/>
  <c r="BB139" i="11"/>
  <c r="AN126" i="11"/>
  <c r="T71" i="15"/>
  <c r="T68" i="15"/>
  <c r="X193" i="15" s="1"/>
  <c r="AB193" i="11" s="1"/>
  <c r="T69" i="15"/>
  <c r="X69" i="15" s="1"/>
  <c r="AB69" i="11" s="1"/>
  <c r="T70" i="15"/>
  <c r="X70" i="15" s="1"/>
  <c r="AB70" i="11" s="1"/>
  <c r="BB121" i="11"/>
  <c r="BB128" i="11"/>
  <c r="X139" i="15"/>
  <c r="AB139" i="11" s="1"/>
  <c r="T144" i="15"/>
  <c r="AR144" i="15" s="1"/>
  <c r="X168" i="15"/>
  <c r="AB168" i="11" s="1"/>
  <c r="X154" i="15"/>
  <c r="AB154" i="11" s="1"/>
  <c r="BB119" i="11"/>
  <c r="BB152" i="11"/>
  <c r="W65" i="15"/>
  <c r="X129" i="15"/>
  <c r="AB129" i="11" s="1"/>
  <c r="X110" i="15"/>
  <c r="AB110" i="11" s="1"/>
  <c r="N71" i="11"/>
  <c r="AN110" i="11"/>
  <c r="AL116" i="15"/>
  <c r="N68" i="11"/>
  <c r="BB94" i="11"/>
  <c r="N69" i="11"/>
  <c r="AP145" i="15"/>
  <c r="AL149" i="15"/>
  <c r="BB162" i="11"/>
  <c r="V116" i="15"/>
  <c r="AP138" i="15"/>
  <c r="AL141" i="15"/>
  <c r="BB93" i="11"/>
  <c r="AN132" i="15"/>
  <c r="X126" i="15"/>
  <c r="AB126" i="11" s="1"/>
  <c r="T132" i="15"/>
  <c r="AL129" i="15"/>
  <c r="AL65" i="15"/>
  <c r="BB112" i="11"/>
  <c r="X113" i="15"/>
  <c r="AB113" i="11" s="1"/>
  <c r="N70" i="11"/>
  <c r="U132" i="15"/>
  <c r="AJ63" i="3"/>
  <c r="AJ36" i="11"/>
  <c r="AL63" i="11"/>
  <c r="AL36" i="11"/>
  <c r="AM125" i="11"/>
  <c r="AM110" i="11"/>
  <c r="AM129" i="11"/>
  <c r="AL125" i="11"/>
  <c r="AL123" i="11"/>
  <c r="AL64" i="11"/>
  <c r="AL61" i="11"/>
  <c r="AL141" i="11"/>
  <c r="AL129" i="11"/>
  <c r="AL128" i="11"/>
  <c r="AL126" i="11"/>
  <c r="AK125" i="11"/>
  <c r="AK111" i="11"/>
  <c r="AK141" i="11"/>
  <c r="AJ110" i="3"/>
  <c r="AJ110" i="11" s="1"/>
  <c r="AJ128" i="3"/>
  <c r="AJ128" i="11" s="1"/>
  <c r="AF125" i="3"/>
  <c r="AF126" i="3" s="1"/>
  <c r="AF65" i="3"/>
  <c r="AF111" i="3" s="1"/>
  <c r="AH65" i="3"/>
  <c r="AH111" i="3" s="1"/>
  <c r="AH129" i="3"/>
  <c r="AG65" i="3"/>
  <c r="AG127" i="3" s="1"/>
  <c r="AG129" i="3"/>
  <c r="AI65" i="3"/>
  <c r="AI111" i="3" s="1"/>
  <c r="AI116" i="3" s="1"/>
  <c r="AI129" i="3"/>
  <c r="AJ164" i="3"/>
  <c r="AG159" i="3"/>
  <c r="AJ153" i="3"/>
  <c r="AF149" i="3"/>
  <c r="AJ144" i="3"/>
  <c r="AF141" i="3"/>
  <c r="AJ138" i="3"/>
  <c r="T9" i="10"/>
  <c r="AA9" i="11" s="1"/>
  <c r="T8" i="10"/>
  <c r="AA8" i="11" s="1"/>
  <c r="D30" i="2"/>
  <c r="D25" i="2"/>
  <c r="I48" i="12"/>
  <c r="H48" i="12"/>
  <c r="D48" i="12"/>
  <c r="C48" i="12"/>
  <c r="E47" i="12"/>
  <c r="L47" i="12" s="1"/>
  <c r="L46" i="12"/>
  <c r="E46" i="12"/>
  <c r="L45" i="12"/>
  <c r="E45" i="12"/>
  <c r="J44" i="12"/>
  <c r="E44" i="12"/>
  <c r="L44" i="12" s="1"/>
  <c r="L43" i="12"/>
  <c r="J43" i="12"/>
  <c r="E43" i="12"/>
  <c r="J42" i="12"/>
  <c r="E42" i="12"/>
  <c r="L42" i="12" s="1"/>
  <c r="J41" i="12"/>
  <c r="L41" i="12" s="1"/>
  <c r="E41" i="12"/>
  <c r="J40" i="12"/>
  <c r="E40" i="12"/>
  <c r="L40" i="12" s="1"/>
  <c r="J39" i="12"/>
  <c r="E39" i="12"/>
  <c r="L39" i="12" s="1"/>
  <c r="J38" i="12"/>
  <c r="E38" i="12"/>
  <c r="L38" i="12" s="1"/>
  <c r="J37" i="12"/>
  <c r="E37" i="12"/>
  <c r="L37" i="12" s="1"/>
  <c r="J36" i="12"/>
  <c r="E36" i="12"/>
  <c r="L36" i="12" s="1"/>
  <c r="J35" i="12"/>
  <c r="E35" i="12"/>
  <c r="L35" i="12" s="1"/>
  <c r="J34" i="12"/>
  <c r="E34" i="12"/>
  <c r="L34" i="12" s="1"/>
  <c r="L33" i="12"/>
  <c r="J33" i="12"/>
  <c r="E33" i="12"/>
  <c r="J32" i="12"/>
  <c r="E32" i="12"/>
  <c r="L32" i="12" s="1"/>
  <c r="J31" i="12"/>
  <c r="L31" i="12" s="1"/>
  <c r="E31" i="12"/>
  <c r="J30" i="12"/>
  <c r="E30" i="12"/>
  <c r="L30" i="12" s="1"/>
  <c r="J29" i="12"/>
  <c r="E29" i="12"/>
  <c r="L29" i="12" s="1"/>
  <c r="J28" i="12"/>
  <c r="E28" i="12"/>
  <c r="L28" i="12" s="1"/>
  <c r="J27" i="12"/>
  <c r="E27" i="12"/>
  <c r="L27" i="12" s="1"/>
  <c r="J26" i="12"/>
  <c r="L26" i="12" s="1"/>
  <c r="E26" i="12"/>
  <c r="J25" i="12"/>
  <c r="E25" i="12"/>
  <c r="L25" i="12" s="1"/>
  <c r="J24" i="12"/>
  <c r="E24" i="12"/>
  <c r="L24" i="12" s="1"/>
  <c r="J23" i="12"/>
  <c r="E23" i="12"/>
  <c r="L23" i="12" s="1"/>
  <c r="J22" i="12"/>
  <c r="E22" i="12"/>
  <c r="L22" i="12" s="1"/>
  <c r="L21" i="12"/>
  <c r="J21" i="12"/>
  <c r="E21" i="12"/>
  <c r="J20" i="12"/>
  <c r="E20" i="12"/>
  <c r="L20" i="12" s="1"/>
  <c r="J19" i="12"/>
  <c r="L19" i="12" s="1"/>
  <c r="E19" i="12"/>
  <c r="J18" i="12"/>
  <c r="E18" i="12"/>
  <c r="L18" i="12" s="1"/>
  <c r="J17" i="12"/>
  <c r="E17" i="12"/>
  <c r="L17" i="12" s="1"/>
  <c r="J16" i="12"/>
  <c r="E16" i="12"/>
  <c r="L16" i="12" s="1"/>
  <c r="J15" i="12"/>
  <c r="E15" i="12"/>
  <c r="L15" i="12" s="1"/>
  <c r="J14" i="12"/>
  <c r="L14" i="12" s="1"/>
  <c r="E14" i="12"/>
  <c r="J13" i="12"/>
  <c r="E13" i="12"/>
  <c r="L13" i="12" s="1"/>
  <c r="J12" i="12"/>
  <c r="E12" i="12"/>
  <c r="L12" i="12" s="1"/>
  <c r="J11" i="12"/>
  <c r="E11" i="12"/>
  <c r="L11" i="12" s="1"/>
  <c r="J10" i="12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E10" i="12"/>
  <c r="L10" i="12" s="1"/>
  <c r="B10" i="12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L9" i="12"/>
  <c r="J9" i="12"/>
  <c r="J51" i="12" s="1"/>
  <c r="E9" i="12"/>
  <c r="E51" i="12" s="1"/>
  <c r="AR164" i="15" l="1"/>
  <c r="AV164" i="15" s="1"/>
  <c r="BB164" i="11" s="1"/>
  <c r="AS159" i="15"/>
  <c r="AS209" i="15" s="1"/>
  <c r="AS218" i="15" s="1"/>
  <c r="AV153" i="15"/>
  <c r="AV178" i="15"/>
  <c r="AV194" i="15" s="1"/>
  <c r="AR194" i="15"/>
  <c r="AR141" i="15"/>
  <c r="AV138" i="15"/>
  <c r="AV141" i="15" s="1"/>
  <c r="AV144" i="15"/>
  <c r="AV149" i="15" s="1"/>
  <c r="AR149" i="15"/>
  <c r="AS116" i="15"/>
  <c r="AV111" i="15"/>
  <c r="AV116" i="15" s="1"/>
  <c r="AV132" i="15"/>
  <c r="X71" i="15"/>
  <c r="AB71" i="11" s="1"/>
  <c r="AR71" i="15"/>
  <c r="AN209" i="15"/>
  <c r="AN218" i="15" s="1"/>
  <c r="U116" i="15"/>
  <c r="AP141" i="15"/>
  <c r="AU141" i="11" s="1"/>
  <c r="AU138" i="11"/>
  <c r="AP118" i="15"/>
  <c r="AU91" i="11"/>
  <c r="X148" i="15"/>
  <c r="AB148" i="11" s="1"/>
  <c r="AN116" i="15"/>
  <c r="V209" i="15"/>
  <c r="V218" i="15" s="1"/>
  <c r="AP149" i="15"/>
  <c r="AU149" i="11" s="1"/>
  <c r="AU145" i="11"/>
  <c r="W111" i="15"/>
  <c r="X118" i="15"/>
  <c r="AB91" i="11"/>
  <c r="X65" i="15"/>
  <c r="AB65" i="11" s="1"/>
  <c r="AB63" i="11"/>
  <c r="X146" i="15"/>
  <c r="AB146" i="11" s="1"/>
  <c r="AP65" i="15"/>
  <c r="AU65" i="11" s="1"/>
  <c r="AU63" i="11"/>
  <c r="X145" i="15"/>
  <c r="AB145" i="11" s="1"/>
  <c r="AP110" i="15"/>
  <c r="AU110" i="11" s="1"/>
  <c r="N157" i="11"/>
  <c r="AF70" i="15"/>
  <c r="AJ70" i="15" s="1"/>
  <c r="AN70" i="11" s="1"/>
  <c r="AF71" i="15"/>
  <c r="AJ71" i="15" s="1"/>
  <c r="AN71" i="11" s="1"/>
  <c r="AF69" i="15"/>
  <c r="AJ69" i="15" s="1"/>
  <c r="AN69" i="11" s="1"/>
  <c r="AN2" i="11"/>
  <c r="AF68" i="15"/>
  <c r="AR68" i="15" s="1"/>
  <c r="AV68" i="15" s="1"/>
  <c r="I6" i="2"/>
  <c r="I7" i="2"/>
  <c r="AJ173" i="3"/>
  <c r="AJ161" i="11"/>
  <c r="AJ125" i="3"/>
  <c r="AJ125" i="11" s="1"/>
  <c r="AH116" i="3"/>
  <c r="AV65" i="3"/>
  <c r="AJ129" i="3"/>
  <c r="AJ129" i="11" s="1"/>
  <c r="AF116" i="3"/>
  <c r="AJ126" i="3"/>
  <c r="AJ126" i="11" s="1"/>
  <c r="BB207" i="11"/>
  <c r="BB197" i="11"/>
  <c r="BB63" i="11"/>
  <c r="AN161" i="11"/>
  <c r="BB161" i="11"/>
  <c r="AN129" i="11"/>
  <c r="AM65" i="11"/>
  <c r="AM64" i="11"/>
  <c r="AL127" i="11"/>
  <c r="AL65" i="11"/>
  <c r="AK65" i="11"/>
  <c r="AK64" i="11"/>
  <c r="BB64" i="11"/>
  <c r="BB61" i="11"/>
  <c r="BB125" i="11"/>
  <c r="AP116" i="15"/>
  <c r="AU116" i="11" s="1"/>
  <c r="BB113" i="11"/>
  <c r="BB109" i="11"/>
  <c r="N82" i="11"/>
  <c r="BB146" i="11"/>
  <c r="X164" i="15"/>
  <c r="AB164" i="11" s="1"/>
  <c r="BB126" i="11"/>
  <c r="X144" i="15"/>
  <c r="T149" i="15"/>
  <c r="BB153" i="11"/>
  <c r="T156" i="15"/>
  <c r="T170" i="15"/>
  <c r="X170" i="15" s="1"/>
  <c r="AB170" i="11" s="1"/>
  <c r="T82" i="15"/>
  <c r="X68" i="15"/>
  <c r="T157" i="15"/>
  <c r="X157" i="15" s="1"/>
  <c r="AB157" i="11" s="1"/>
  <c r="X178" i="15"/>
  <c r="T194" i="15"/>
  <c r="AP129" i="15"/>
  <c r="AL132" i="15"/>
  <c r="AL209" i="15" s="1"/>
  <c r="AL218" i="15" s="1"/>
  <c r="X111" i="15"/>
  <c r="X153" i="15"/>
  <c r="AB153" i="11" s="1"/>
  <c r="U159" i="15"/>
  <c r="U209" i="15" s="1"/>
  <c r="U218" i="15" s="1"/>
  <c r="BB154" i="11"/>
  <c r="BB145" i="11"/>
  <c r="BB129" i="11"/>
  <c r="T141" i="15"/>
  <c r="X138" i="15"/>
  <c r="U193" i="11"/>
  <c r="U170" i="11"/>
  <c r="U157" i="11"/>
  <c r="BB168" i="11"/>
  <c r="AM116" i="15"/>
  <c r="AM209" i="15" s="1"/>
  <c r="AM218" i="15" s="1"/>
  <c r="BB148" i="11"/>
  <c r="AJ65" i="3"/>
  <c r="AJ65" i="11" s="1"/>
  <c r="AJ63" i="11"/>
  <c r="AJ164" i="11"/>
  <c r="AJ141" i="3"/>
  <c r="AJ141" i="11" s="1"/>
  <c r="AJ138" i="11"/>
  <c r="AJ149" i="3"/>
  <c r="AJ149" i="11" s="1"/>
  <c r="AJ144" i="11"/>
  <c r="AJ153" i="11"/>
  <c r="AK127" i="11"/>
  <c r="AK116" i="11"/>
  <c r="AF127" i="3"/>
  <c r="AG132" i="3"/>
  <c r="AG209" i="3" s="1"/>
  <c r="AG218" i="3" s="1"/>
  <c r="AH127" i="3"/>
  <c r="AI127" i="3"/>
  <c r="AI132" i="3" s="1"/>
  <c r="AI209" i="3" s="1"/>
  <c r="AI218" i="3" s="1"/>
  <c r="AJ111" i="3"/>
  <c r="L48" i="12"/>
  <c r="E48" i="12"/>
  <c r="J48" i="12"/>
  <c r="BB144" i="11" l="1"/>
  <c r="AV71" i="15"/>
  <c r="AV82" i="15" s="1"/>
  <c r="AR82" i="15"/>
  <c r="X149" i="15"/>
  <c r="AB149" i="11" s="1"/>
  <c r="AB144" i="11"/>
  <c r="AP132" i="15"/>
  <c r="AU132" i="11" s="1"/>
  <c r="AU129" i="11"/>
  <c r="X141" i="15"/>
  <c r="AB141" i="11" s="1"/>
  <c r="AB138" i="11"/>
  <c r="AP134" i="15"/>
  <c r="AU118" i="11"/>
  <c r="X116" i="15"/>
  <c r="AB116" i="11" s="1"/>
  <c r="AB111" i="11"/>
  <c r="X194" i="15"/>
  <c r="AB194" i="11" s="1"/>
  <c r="AB178" i="11"/>
  <c r="X134" i="15"/>
  <c r="AB118" i="11"/>
  <c r="BB110" i="11"/>
  <c r="W116" i="15"/>
  <c r="U82" i="11"/>
  <c r="U68" i="11"/>
  <c r="BB69" i="11"/>
  <c r="N171" i="11"/>
  <c r="N170" i="11"/>
  <c r="N194" i="11"/>
  <c r="N193" i="11"/>
  <c r="BB71" i="11"/>
  <c r="BB70" i="11"/>
  <c r="X82" i="15"/>
  <c r="AB82" i="11" s="1"/>
  <c r="AB68" i="11"/>
  <c r="AF170" i="15"/>
  <c r="AR170" i="15" s="1"/>
  <c r="AF82" i="15"/>
  <c r="AF156" i="15"/>
  <c r="AR156" i="15" s="1"/>
  <c r="AJ68" i="15"/>
  <c r="AF157" i="15"/>
  <c r="BB68" i="11"/>
  <c r="N159" i="11"/>
  <c r="N156" i="11"/>
  <c r="AJ196" i="3"/>
  <c r="AJ196" i="11" s="1"/>
  <c r="AJ173" i="11"/>
  <c r="AH132" i="3"/>
  <c r="AH209" i="3" s="1"/>
  <c r="AH218" i="3" s="1"/>
  <c r="AF132" i="3"/>
  <c r="BB141" i="11"/>
  <c r="BB138" i="11"/>
  <c r="AN196" i="11"/>
  <c r="AN173" i="11"/>
  <c r="BB196" i="11"/>
  <c r="BB173" i="11"/>
  <c r="BB65" i="11"/>
  <c r="AM126" i="11"/>
  <c r="AL132" i="11"/>
  <c r="AP209" i="15"/>
  <c r="U171" i="11"/>
  <c r="U194" i="11"/>
  <c r="X156" i="15"/>
  <c r="T159" i="15"/>
  <c r="W132" i="15"/>
  <c r="W209" i="15" s="1"/>
  <c r="W218" i="15" s="1"/>
  <c r="X127" i="15"/>
  <c r="BB149" i="11"/>
  <c r="X171" i="15"/>
  <c r="AB171" i="11" s="1"/>
  <c r="BB178" i="11"/>
  <c r="T171" i="15"/>
  <c r="AJ116" i="3"/>
  <c r="AJ116" i="11" s="1"/>
  <c r="AJ111" i="11"/>
  <c r="AL194" i="11"/>
  <c r="AL193" i="11"/>
  <c r="AL116" i="11"/>
  <c r="AL111" i="11"/>
  <c r="AJ127" i="3"/>
  <c r="U75" i="4"/>
  <c r="U75" i="10"/>
  <c r="U75" i="9"/>
  <c r="T8" i="9"/>
  <c r="T7" i="9"/>
  <c r="T7" i="4"/>
  <c r="Y7" i="11" s="1"/>
  <c r="Y6" i="11"/>
  <c r="X6" i="11"/>
  <c r="X5" i="11"/>
  <c r="X4" i="11"/>
  <c r="AV156" i="15" l="1"/>
  <c r="AJ157" i="15"/>
  <c r="AN157" i="11" s="1"/>
  <c r="AR157" i="15"/>
  <c r="AV157" i="15" s="1"/>
  <c r="BB157" i="11" s="1"/>
  <c r="AV170" i="15"/>
  <c r="AV171" i="15" s="1"/>
  <c r="BB171" i="11" s="1"/>
  <c r="AR171" i="15"/>
  <c r="X132" i="15"/>
  <c r="AB132" i="11" s="1"/>
  <c r="AB127" i="11"/>
  <c r="X151" i="15"/>
  <c r="AB134" i="11"/>
  <c r="X143" i="15"/>
  <c r="AB143" i="11" s="1"/>
  <c r="AU134" i="11"/>
  <c r="AP143" i="15"/>
  <c r="AU143" i="11" s="1"/>
  <c r="AP151" i="15"/>
  <c r="AJ156" i="15"/>
  <c r="AF159" i="15"/>
  <c r="AJ82" i="15"/>
  <c r="AN82" i="11" s="1"/>
  <c r="AN68" i="11"/>
  <c r="X159" i="15"/>
  <c r="AB159" i="11" s="1"/>
  <c r="AB156" i="11"/>
  <c r="U159" i="11"/>
  <c r="U156" i="11"/>
  <c r="BB82" i="11"/>
  <c r="AJ170" i="15"/>
  <c r="AF171" i="15"/>
  <c r="BB156" i="11"/>
  <c r="Z7" i="11"/>
  <c r="AZ7" i="11"/>
  <c r="Z8" i="11"/>
  <c r="AZ8" i="11"/>
  <c r="AV75" i="3"/>
  <c r="BB170" i="11"/>
  <c r="AP218" i="15"/>
  <c r="AU218" i="11" s="1"/>
  <c r="AU209" i="11"/>
  <c r="AN132" i="11"/>
  <c r="AN127" i="11"/>
  <c r="BB116" i="11"/>
  <c r="BB111" i="11"/>
  <c r="AN111" i="11"/>
  <c r="AN116" i="11"/>
  <c r="AM132" i="11"/>
  <c r="AM127" i="11"/>
  <c r="AM111" i="11"/>
  <c r="AM116" i="11"/>
  <c r="AK132" i="11"/>
  <c r="AW193" i="15"/>
  <c r="BB193" i="11"/>
  <c r="BB194" i="11"/>
  <c r="T209" i="15"/>
  <c r="T218" i="15" s="1"/>
  <c r="AJ132" i="3"/>
  <c r="AJ127" i="11"/>
  <c r="T185" i="10"/>
  <c r="T167" i="10"/>
  <c r="U74" i="10"/>
  <c r="U74" i="9"/>
  <c r="AL123" i="9"/>
  <c r="AL123" i="10"/>
  <c r="AO220" i="9"/>
  <c r="AO216" i="9"/>
  <c r="AO203" i="9"/>
  <c r="AO194" i="9"/>
  <c r="AO171" i="9"/>
  <c r="AO159" i="9"/>
  <c r="AO149" i="9"/>
  <c r="AO141" i="9"/>
  <c r="AO128" i="9"/>
  <c r="AO125" i="9"/>
  <c r="AO127" i="9" s="1"/>
  <c r="AO112" i="9"/>
  <c r="AO109" i="9"/>
  <c r="AO110" i="9" s="1"/>
  <c r="AO88" i="9"/>
  <c r="AO82" i="9"/>
  <c r="AO67" i="9"/>
  <c r="AO84" i="9" s="1"/>
  <c r="AO91" i="9" s="1"/>
  <c r="AO118" i="9" s="1"/>
  <c r="AO134" i="9" s="1"/>
  <c r="AO61" i="9"/>
  <c r="AO64" i="9" s="1"/>
  <c r="AO113" i="9" s="1"/>
  <c r="AO38" i="9"/>
  <c r="AO36" i="9"/>
  <c r="AO63" i="9" s="1"/>
  <c r="AO26" i="9"/>
  <c r="AO220" i="4"/>
  <c r="AO216" i="4"/>
  <c r="AO203" i="4"/>
  <c r="AO207" i="4" s="1"/>
  <c r="AO194" i="4"/>
  <c r="AO171" i="4"/>
  <c r="AO159" i="4"/>
  <c r="AO149" i="4"/>
  <c r="AO141" i="4"/>
  <c r="AO125" i="4"/>
  <c r="AO127" i="4" s="1"/>
  <c r="AO112" i="4"/>
  <c r="AO109" i="4"/>
  <c r="AO111" i="4" s="1"/>
  <c r="AO88" i="4"/>
  <c r="AO82" i="4"/>
  <c r="AO67" i="4"/>
  <c r="AO84" i="4" s="1"/>
  <c r="AO91" i="4" s="1"/>
  <c r="AO118" i="4" s="1"/>
  <c r="AO134" i="4" s="1"/>
  <c r="AO61" i="4"/>
  <c r="AO64" i="4" s="1"/>
  <c r="AO113" i="4" s="1"/>
  <c r="AO38" i="4"/>
  <c r="AO36" i="4"/>
  <c r="AO63" i="4" s="1"/>
  <c r="AO26" i="4"/>
  <c r="AO220" i="10"/>
  <c r="AO216" i="10"/>
  <c r="AO203" i="10"/>
  <c r="AO194" i="10"/>
  <c r="AO171" i="10"/>
  <c r="AO159" i="10"/>
  <c r="AO149" i="10"/>
  <c r="AO141" i="10"/>
  <c r="AO125" i="10"/>
  <c r="AO127" i="10" s="1"/>
  <c r="AO112" i="10"/>
  <c r="AO109" i="10"/>
  <c r="AO111" i="10" s="1"/>
  <c r="AO88" i="10"/>
  <c r="AO82" i="10"/>
  <c r="AO67" i="10"/>
  <c r="AO84" i="10" s="1"/>
  <c r="AO91" i="10" s="1"/>
  <c r="AO118" i="10" s="1"/>
  <c r="AO134" i="10" s="1"/>
  <c r="AO61" i="10"/>
  <c r="AO64" i="10" s="1"/>
  <c r="AO113" i="10" s="1"/>
  <c r="AO38" i="10"/>
  <c r="AO36" i="10"/>
  <c r="AO63" i="10" s="1"/>
  <c r="AO26" i="10"/>
  <c r="T135" i="9"/>
  <c r="T135" i="10"/>
  <c r="D39" i="2"/>
  <c r="AO220" i="3"/>
  <c r="AO216" i="3"/>
  <c r="AO203" i="3"/>
  <c r="AO194" i="3"/>
  <c r="AO171" i="3"/>
  <c r="AO159" i="3"/>
  <c r="AO149" i="3"/>
  <c r="AO141" i="3"/>
  <c r="AO125" i="3"/>
  <c r="AO127" i="3" s="1"/>
  <c r="AO112" i="3"/>
  <c r="AO109" i="3"/>
  <c r="AO110" i="3" s="1"/>
  <c r="AO88" i="3"/>
  <c r="AO82" i="3"/>
  <c r="AO67" i="3"/>
  <c r="AO84" i="3" s="1"/>
  <c r="AO91" i="3" s="1"/>
  <c r="AO118" i="3" s="1"/>
  <c r="AO134" i="3" s="1"/>
  <c r="AO61" i="3"/>
  <c r="AO64" i="3" s="1"/>
  <c r="AO38" i="3"/>
  <c r="AO36" i="3"/>
  <c r="AO63" i="3" s="1"/>
  <c r="AO129" i="3" s="1"/>
  <c r="AO26" i="3"/>
  <c r="AC111" i="1"/>
  <c r="D29" i="2"/>
  <c r="D28" i="2"/>
  <c r="D27" i="2"/>
  <c r="BA20" i="11"/>
  <c r="BA37" i="11"/>
  <c r="BA62" i="11"/>
  <c r="BA66" i="11"/>
  <c r="BA117" i="11"/>
  <c r="BA133" i="11"/>
  <c r="BA142" i="11"/>
  <c r="BA150" i="11"/>
  <c r="BA160" i="11"/>
  <c r="BA172" i="11"/>
  <c r="BA195" i="11"/>
  <c r="BA208" i="11"/>
  <c r="BA210" i="11"/>
  <c r="BA211" i="11"/>
  <c r="BA217" i="11"/>
  <c r="BA219" i="11"/>
  <c r="AL165" i="10"/>
  <c r="AL144" i="10"/>
  <c r="AM106" i="10"/>
  <c r="AN102" i="10"/>
  <c r="AL98" i="10"/>
  <c r="AL96" i="10"/>
  <c r="AM94" i="10"/>
  <c r="AT37" i="11"/>
  <c r="AT62" i="11"/>
  <c r="AT66" i="11"/>
  <c r="AT85" i="11"/>
  <c r="AT86" i="11"/>
  <c r="AT87" i="11"/>
  <c r="AT117" i="11"/>
  <c r="AT133" i="11"/>
  <c r="AT142" i="11"/>
  <c r="AT150" i="11"/>
  <c r="AT160" i="11"/>
  <c r="AT172" i="11"/>
  <c r="AT195" i="11"/>
  <c r="AT208" i="11"/>
  <c r="AT210" i="11"/>
  <c r="AT211" i="11"/>
  <c r="AT217" i="11"/>
  <c r="AT20" i="11"/>
  <c r="T206" i="10"/>
  <c r="T205" i="10"/>
  <c r="T203" i="10"/>
  <c r="T202" i="10"/>
  <c r="T201" i="10"/>
  <c r="T199" i="10"/>
  <c r="T197" i="10"/>
  <c r="T184" i="10"/>
  <c r="T183" i="10"/>
  <c r="T182" i="10"/>
  <c r="T179" i="10"/>
  <c r="T177" i="10"/>
  <c r="T176" i="10"/>
  <c r="T175" i="10"/>
  <c r="T174" i="10"/>
  <c r="T165" i="10"/>
  <c r="U140" i="10"/>
  <c r="T123" i="10"/>
  <c r="U123" i="10"/>
  <c r="U122" i="10"/>
  <c r="T119" i="10"/>
  <c r="V101" i="10"/>
  <c r="T101" i="10"/>
  <c r="T99" i="10"/>
  <c r="T98" i="10"/>
  <c r="T93" i="10"/>
  <c r="V181" i="10"/>
  <c r="V180" i="10"/>
  <c r="V81" i="10"/>
  <c r="V80" i="10"/>
  <c r="AA37" i="11"/>
  <c r="AA62" i="11"/>
  <c r="AA66" i="11"/>
  <c r="AA85" i="11"/>
  <c r="AA86" i="11"/>
  <c r="AA87" i="11"/>
  <c r="AA117" i="11"/>
  <c r="AA133" i="11"/>
  <c r="AA142" i="11"/>
  <c r="AA150" i="11"/>
  <c r="AA160" i="11"/>
  <c r="AA172" i="11"/>
  <c r="AA195" i="11"/>
  <c r="AA208" i="11"/>
  <c r="AA210" i="11"/>
  <c r="AA211" i="11"/>
  <c r="AA217" i="11"/>
  <c r="AA219" i="11"/>
  <c r="AA20" i="11"/>
  <c r="T37" i="11"/>
  <c r="T62" i="11"/>
  <c r="T66" i="11"/>
  <c r="T117" i="11"/>
  <c r="T133" i="11"/>
  <c r="T142" i="11"/>
  <c r="T150" i="11"/>
  <c r="T160" i="11"/>
  <c r="T172" i="11"/>
  <c r="T195" i="11"/>
  <c r="T208" i="11"/>
  <c r="T210" i="11"/>
  <c r="T211" i="11"/>
  <c r="T217" i="11"/>
  <c r="T219" i="11"/>
  <c r="T20" i="11"/>
  <c r="M37" i="11"/>
  <c r="M62" i="11"/>
  <c r="M66" i="11"/>
  <c r="M85" i="11"/>
  <c r="M86" i="11"/>
  <c r="M87" i="11"/>
  <c r="M117" i="11"/>
  <c r="M133" i="11"/>
  <c r="M142" i="11"/>
  <c r="M150" i="11"/>
  <c r="M160" i="11"/>
  <c r="M172" i="11"/>
  <c r="M195" i="11"/>
  <c r="M208" i="11"/>
  <c r="M210" i="11"/>
  <c r="M211" i="11"/>
  <c r="M217" i="11"/>
  <c r="M219" i="11"/>
  <c r="M20" i="11"/>
  <c r="F37" i="11"/>
  <c r="F62" i="11"/>
  <c r="F66" i="11"/>
  <c r="F85" i="11"/>
  <c r="F86" i="11"/>
  <c r="F87" i="11"/>
  <c r="F117" i="11"/>
  <c r="F133" i="11"/>
  <c r="F142" i="11"/>
  <c r="F150" i="11"/>
  <c r="F160" i="11"/>
  <c r="F172" i="11"/>
  <c r="F195" i="11"/>
  <c r="F208" i="11"/>
  <c r="F210" i="11"/>
  <c r="F211" i="11"/>
  <c r="F217" i="11"/>
  <c r="F219" i="11"/>
  <c r="F20" i="11"/>
  <c r="AR159" i="15" l="1"/>
  <c r="AR209" i="15" s="1"/>
  <c r="AR218" i="15" s="1"/>
  <c r="AV159" i="15"/>
  <c r="AV209" i="15" s="1"/>
  <c r="AV218" i="15" s="1"/>
  <c r="AP161" i="15"/>
  <c r="AU151" i="11"/>
  <c r="X161" i="15"/>
  <c r="AB151" i="11"/>
  <c r="BB159" i="11"/>
  <c r="X209" i="15"/>
  <c r="AB209" i="11" s="1"/>
  <c r="AF209" i="15"/>
  <c r="AF218" i="15" s="1"/>
  <c r="N218" i="11"/>
  <c r="N209" i="11"/>
  <c r="AN170" i="11"/>
  <c r="AJ171" i="15"/>
  <c r="AN156" i="11"/>
  <c r="AJ159" i="15"/>
  <c r="AN159" i="11" s="1"/>
  <c r="AO207" i="10"/>
  <c r="AO207" i="9"/>
  <c r="AO207" i="3"/>
  <c r="AU207" i="3"/>
  <c r="BB132" i="11"/>
  <c r="BB127" i="11"/>
  <c r="AN194" i="11"/>
  <c r="AN193" i="11"/>
  <c r="AJ132" i="11"/>
  <c r="AO128" i="10"/>
  <c r="AO65" i="10"/>
  <c r="AO129" i="10"/>
  <c r="AO128" i="4"/>
  <c r="AO111" i="3"/>
  <c r="AO116" i="3" s="1"/>
  <c r="AO128" i="3"/>
  <c r="AO65" i="9"/>
  <c r="AO129" i="9"/>
  <c r="AO151" i="9"/>
  <c r="AO161" i="9" s="1"/>
  <c r="AO173" i="9" s="1"/>
  <c r="AO196" i="9" s="1"/>
  <c r="AO143" i="9"/>
  <c r="AO111" i="9"/>
  <c r="AO116" i="9" s="1"/>
  <c r="AO126" i="9"/>
  <c r="AO129" i="4"/>
  <c r="AO65" i="4"/>
  <c r="AO151" i="4"/>
  <c r="AO161" i="4" s="1"/>
  <c r="AO173" i="4" s="1"/>
  <c r="AO196" i="4" s="1"/>
  <c r="AO143" i="4"/>
  <c r="AO126" i="4"/>
  <c r="AO110" i="4"/>
  <c r="AO116" i="4" s="1"/>
  <c r="AO151" i="10"/>
  <c r="AO161" i="10" s="1"/>
  <c r="AO173" i="10" s="1"/>
  <c r="AO196" i="10" s="1"/>
  <c r="AO143" i="10"/>
  <c r="AO110" i="10"/>
  <c r="AO116" i="10" s="1"/>
  <c r="AO126" i="10"/>
  <c r="AO113" i="3"/>
  <c r="AO65" i="3"/>
  <c r="AO151" i="3"/>
  <c r="AO161" i="3" s="1"/>
  <c r="AO173" i="3" s="1"/>
  <c r="AO196" i="3" s="1"/>
  <c r="AO143" i="3"/>
  <c r="AO126" i="3"/>
  <c r="M180" i="11"/>
  <c r="M81" i="11"/>
  <c r="M80" i="11"/>
  <c r="F205" i="11"/>
  <c r="F183" i="11"/>
  <c r="F182" i="11"/>
  <c r="F175" i="11"/>
  <c r="F174" i="11"/>
  <c r="B170" i="1"/>
  <c r="F162" i="11"/>
  <c r="F140" i="11"/>
  <c r="F123" i="11"/>
  <c r="F106" i="11"/>
  <c r="F99" i="11"/>
  <c r="F96" i="11"/>
  <c r="BA220" i="11"/>
  <c r="AP220" i="10"/>
  <c r="AT220" i="11" s="1"/>
  <c r="AN220" i="10"/>
  <c r="AM220" i="10"/>
  <c r="AL220" i="10"/>
  <c r="X220" i="10"/>
  <c r="AA220" i="11" s="1"/>
  <c r="W220" i="10"/>
  <c r="V220" i="10"/>
  <c r="U220" i="10"/>
  <c r="T220" i="10"/>
  <c r="T220" i="11"/>
  <c r="M220" i="11"/>
  <c r="F220" i="11"/>
  <c r="A220" i="10"/>
  <c r="AN216" i="10"/>
  <c r="AM216" i="10"/>
  <c r="AL216" i="10"/>
  <c r="W216" i="10"/>
  <c r="V216" i="10"/>
  <c r="U216" i="10"/>
  <c r="AP215" i="10"/>
  <c r="AT215" i="11" s="1"/>
  <c r="X215" i="10"/>
  <c r="AA215" i="11" s="1"/>
  <c r="T215" i="11"/>
  <c r="M215" i="11"/>
  <c r="F215" i="11"/>
  <c r="AP214" i="10"/>
  <c r="AT214" i="11" s="1"/>
  <c r="X214" i="10"/>
  <c r="AA214" i="11" s="1"/>
  <c r="T214" i="11"/>
  <c r="M214" i="11"/>
  <c r="F214" i="11"/>
  <c r="AP213" i="10"/>
  <c r="AT213" i="11" s="1"/>
  <c r="X213" i="10"/>
  <c r="AA213" i="11" s="1"/>
  <c r="T213" i="11"/>
  <c r="M213" i="11"/>
  <c r="F213" i="11"/>
  <c r="AP212" i="10"/>
  <c r="T216" i="10"/>
  <c r="T212" i="11"/>
  <c r="M212" i="11"/>
  <c r="AN207" i="10"/>
  <c r="AM207" i="10"/>
  <c r="AL207" i="10"/>
  <c r="W207" i="10"/>
  <c r="V207" i="10"/>
  <c r="U207" i="10"/>
  <c r="AP206" i="10"/>
  <c r="AT206" i="11" s="1"/>
  <c r="X206" i="10"/>
  <c r="AA206" i="11" s="1"/>
  <c r="M206" i="11"/>
  <c r="F206" i="11"/>
  <c r="AP205" i="10"/>
  <c r="AT205" i="11" s="1"/>
  <c r="T205" i="11"/>
  <c r="M205" i="11"/>
  <c r="AP204" i="10"/>
  <c r="AT204" i="11" s="1"/>
  <c r="X204" i="10"/>
  <c r="AA204" i="11" s="1"/>
  <c r="T204" i="11"/>
  <c r="M204" i="11"/>
  <c r="F204" i="11"/>
  <c r="X203" i="10"/>
  <c r="AA203" i="11" s="1"/>
  <c r="T203" i="11"/>
  <c r="M203" i="11"/>
  <c r="AP202" i="10"/>
  <c r="AT202" i="11" s="1"/>
  <c r="X202" i="10"/>
  <c r="AA202" i="11" s="1"/>
  <c r="T202" i="11"/>
  <c r="M202" i="11"/>
  <c r="AP201" i="10"/>
  <c r="AT201" i="11" s="1"/>
  <c r="X201" i="10"/>
  <c r="AA201" i="11" s="1"/>
  <c r="T201" i="11"/>
  <c r="M201" i="11"/>
  <c r="AP200" i="10"/>
  <c r="AT200" i="11" s="1"/>
  <c r="X200" i="10"/>
  <c r="AA200" i="11" s="1"/>
  <c r="T200" i="11"/>
  <c r="M200" i="11"/>
  <c r="AP199" i="10"/>
  <c r="AT199" i="11" s="1"/>
  <c r="X199" i="10"/>
  <c r="AA199" i="11" s="1"/>
  <c r="T199" i="11"/>
  <c r="M199" i="11"/>
  <c r="BA198" i="11"/>
  <c r="AP198" i="10"/>
  <c r="AT198" i="11" s="1"/>
  <c r="X198" i="10"/>
  <c r="AA198" i="11" s="1"/>
  <c r="T198" i="11"/>
  <c r="M198" i="11"/>
  <c r="F198" i="11"/>
  <c r="AP197" i="10"/>
  <c r="AT197" i="11" s="1"/>
  <c r="X197" i="10"/>
  <c r="AA197" i="11" s="1"/>
  <c r="M197" i="11"/>
  <c r="F197" i="11"/>
  <c r="AN194" i="10"/>
  <c r="AM194" i="10"/>
  <c r="AL194" i="10"/>
  <c r="W194" i="10"/>
  <c r="U194" i="10"/>
  <c r="AP193" i="10"/>
  <c r="AT193" i="11" s="1"/>
  <c r="AP192" i="10"/>
  <c r="AT192" i="11" s="1"/>
  <c r="X192" i="10"/>
  <c r="AA192" i="11" s="1"/>
  <c r="T192" i="11"/>
  <c r="M192" i="11"/>
  <c r="F192" i="11"/>
  <c r="AP191" i="10"/>
  <c r="AT191" i="11" s="1"/>
  <c r="X191" i="10"/>
  <c r="AA191" i="11" s="1"/>
  <c r="T191" i="11"/>
  <c r="M191" i="11"/>
  <c r="F191" i="11"/>
  <c r="AP190" i="10"/>
  <c r="AT190" i="11" s="1"/>
  <c r="X190" i="10"/>
  <c r="AA190" i="11" s="1"/>
  <c r="T190" i="11"/>
  <c r="M190" i="11"/>
  <c r="F190" i="11"/>
  <c r="AP189" i="10"/>
  <c r="AT189" i="11" s="1"/>
  <c r="X189" i="10"/>
  <c r="AA189" i="11" s="1"/>
  <c r="T189" i="11"/>
  <c r="M189" i="11"/>
  <c r="F189" i="11"/>
  <c r="BA188" i="11"/>
  <c r="AP188" i="10"/>
  <c r="AT188" i="11" s="1"/>
  <c r="X188" i="10"/>
  <c r="AA188" i="11" s="1"/>
  <c r="T188" i="11"/>
  <c r="M188" i="11"/>
  <c r="F188" i="11"/>
  <c r="AP187" i="10"/>
  <c r="AT187" i="11" s="1"/>
  <c r="X187" i="10"/>
  <c r="AA187" i="11" s="1"/>
  <c r="T187" i="11"/>
  <c r="M187" i="11"/>
  <c r="F187" i="11"/>
  <c r="AP186" i="10"/>
  <c r="AT186" i="11" s="1"/>
  <c r="X186" i="10"/>
  <c r="AA186" i="11" s="1"/>
  <c r="M186" i="11"/>
  <c r="F186" i="11"/>
  <c r="AP185" i="10"/>
  <c r="AT185" i="11" s="1"/>
  <c r="X185" i="10"/>
  <c r="AA185" i="11" s="1"/>
  <c r="T185" i="11"/>
  <c r="M185" i="11"/>
  <c r="AP184" i="10"/>
  <c r="AT184" i="11" s="1"/>
  <c r="X184" i="10"/>
  <c r="AA184" i="11" s="1"/>
  <c r="T184" i="11"/>
  <c r="M184" i="11"/>
  <c r="AP183" i="10"/>
  <c r="AT183" i="11" s="1"/>
  <c r="X183" i="10"/>
  <c r="AA183" i="11" s="1"/>
  <c r="T183" i="11"/>
  <c r="M183" i="11"/>
  <c r="AP182" i="10"/>
  <c r="AT182" i="11" s="1"/>
  <c r="X182" i="10"/>
  <c r="AA182" i="11" s="1"/>
  <c r="T182" i="11"/>
  <c r="M182" i="11"/>
  <c r="AP181" i="10"/>
  <c r="AT181" i="11" s="1"/>
  <c r="X181" i="10"/>
  <c r="AA181" i="11" s="1"/>
  <c r="T181" i="11"/>
  <c r="M181" i="11"/>
  <c r="AP180" i="10"/>
  <c r="AT180" i="11" s="1"/>
  <c r="X180" i="10"/>
  <c r="AA180" i="11" s="1"/>
  <c r="V194" i="10"/>
  <c r="T180" i="11"/>
  <c r="F180" i="11"/>
  <c r="AP179" i="10"/>
  <c r="AT179" i="11" s="1"/>
  <c r="X179" i="10"/>
  <c r="AA179" i="11" s="1"/>
  <c r="T179" i="11"/>
  <c r="M179" i="11"/>
  <c r="AP178" i="10"/>
  <c r="AT178" i="11" s="1"/>
  <c r="BA177" i="11"/>
  <c r="AP177" i="10"/>
  <c r="AT177" i="11" s="1"/>
  <c r="X177" i="10"/>
  <c r="AA177" i="11" s="1"/>
  <c r="T177" i="11"/>
  <c r="M177" i="11"/>
  <c r="F177" i="11"/>
  <c r="AP176" i="10"/>
  <c r="AT176" i="11" s="1"/>
  <c r="X176" i="10"/>
  <c r="AA176" i="11" s="1"/>
  <c r="T176" i="11"/>
  <c r="M176" i="11"/>
  <c r="F176" i="11"/>
  <c r="AP175" i="10"/>
  <c r="AT175" i="11" s="1"/>
  <c r="X175" i="10"/>
  <c r="AA175" i="11" s="1"/>
  <c r="T175" i="11"/>
  <c r="M175" i="11"/>
  <c r="AP174" i="10"/>
  <c r="AT174" i="11" s="1"/>
  <c r="X174" i="10"/>
  <c r="AA174" i="11" s="1"/>
  <c r="T174" i="11"/>
  <c r="M174" i="11"/>
  <c r="AN171" i="10"/>
  <c r="AM171" i="10"/>
  <c r="W171" i="10"/>
  <c r="V171" i="10"/>
  <c r="U171" i="10"/>
  <c r="AP170" i="10"/>
  <c r="AT170" i="11" s="1"/>
  <c r="AP169" i="10"/>
  <c r="AT169" i="11" s="1"/>
  <c r="X169" i="10"/>
  <c r="AA169" i="11" s="1"/>
  <c r="T169" i="11"/>
  <c r="M169" i="11"/>
  <c r="F169" i="11"/>
  <c r="AP168" i="10"/>
  <c r="AT168" i="11" s="1"/>
  <c r="AP167" i="10"/>
  <c r="AT167" i="11" s="1"/>
  <c r="X167" i="10"/>
  <c r="AA167" i="11" s="1"/>
  <c r="T167" i="11"/>
  <c r="M167" i="11"/>
  <c r="AP166" i="10"/>
  <c r="AT166" i="11" s="1"/>
  <c r="X166" i="10"/>
  <c r="AA166" i="11" s="1"/>
  <c r="T166" i="11"/>
  <c r="M166" i="11"/>
  <c r="F166" i="11"/>
  <c r="AP165" i="10"/>
  <c r="AT165" i="11" s="1"/>
  <c r="X165" i="10"/>
  <c r="AA165" i="11" s="1"/>
  <c r="T165" i="11"/>
  <c r="M165" i="11"/>
  <c r="F165" i="11"/>
  <c r="AP164" i="10"/>
  <c r="AT164" i="11" s="1"/>
  <c r="AP163" i="10"/>
  <c r="AT163" i="11" s="1"/>
  <c r="X163" i="10"/>
  <c r="AA163" i="11" s="1"/>
  <c r="T163" i="11"/>
  <c r="BA163" i="11"/>
  <c r="M163" i="11"/>
  <c r="F163" i="11"/>
  <c r="AP162" i="10"/>
  <c r="AT162" i="11" s="1"/>
  <c r="X162" i="10"/>
  <c r="AA162" i="11" s="1"/>
  <c r="AN159" i="10"/>
  <c r="AM159" i="10"/>
  <c r="AL159" i="10"/>
  <c r="AP158" i="10"/>
  <c r="AT158" i="11" s="1"/>
  <c r="X158" i="10"/>
  <c r="AA158" i="11" s="1"/>
  <c r="T158" i="11"/>
  <c r="M158" i="11"/>
  <c r="F158" i="11"/>
  <c r="AP157" i="10"/>
  <c r="AT157" i="11" s="1"/>
  <c r="AP156" i="10"/>
  <c r="AT156" i="11" s="1"/>
  <c r="BA155" i="11"/>
  <c r="AP155" i="10"/>
  <c r="AT155" i="11" s="1"/>
  <c r="X155" i="10"/>
  <c r="AA155" i="11" s="1"/>
  <c r="T155" i="11"/>
  <c r="M155" i="11"/>
  <c r="F155" i="11"/>
  <c r="AP154" i="10"/>
  <c r="AT154" i="11" s="1"/>
  <c r="AP153" i="10"/>
  <c r="AT153" i="11" s="1"/>
  <c r="AP152" i="10"/>
  <c r="AT152" i="11" s="1"/>
  <c r="X152" i="10"/>
  <c r="AA152" i="11" s="1"/>
  <c r="T152" i="11"/>
  <c r="M152" i="11"/>
  <c r="F152" i="11"/>
  <c r="AN149" i="10"/>
  <c r="AM149" i="10"/>
  <c r="W149" i="10"/>
  <c r="V149" i="10"/>
  <c r="U149" i="10"/>
  <c r="AP147" i="10"/>
  <c r="AT147" i="11" s="1"/>
  <c r="X147" i="10"/>
  <c r="AA147" i="11" s="1"/>
  <c r="T147" i="11"/>
  <c r="M147" i="11"/>
  <c r="F147" i="11"/>
  <c r="AP144" i="10"/>
  <c r="AT144" i="11" s="1"/>
  <c r="AN141" i="10"/>
  <c r="W141" i="10"/>
  <c r="V141" i="10"/>
  <c r="U141" i="10"/>
  <c r="AM140" i="10"/>
  <c r="AP140" i="10" s="1"/>
  <c r="AT140" i="11" s="1"/>
  <c r="X140" i="10"/>
  <c r="AA140" i="11" s="1"/>
  <c r="AP137" i="10"/>
  <c r="AT137" i="11" s="1"/>
  <c r="X137" i="10"/>
  <c r="AA137" i="11" s="1"/>
  <c r="T137" i="11"/>
  <c r="M137" i="11"/>
  <c r="F137" i="11"/>
  <c r="AP136" i="10"/>
  <c r="AT136" i="11" s="1"/>
  <c r="X136" i="10"/>
  <c r="AA136" i="11" s="1"/>
  <c r="T136" i="11"/>
  <c r="M136" i="11"/>
  <c r="F136" i="11"/>
  <c r="AP135" i="10"/>
  <c r="AT135" i="11" s="1"/>
  <c r="X135" i="10"/>
  <c r="AA135" i="11" s="1"/>
  <c r="T135" i="11"/>
  <c r="M135" i="11"/>
  <c r="AP131" i="10"/>
  <c r="AT131" i="11" s="1"/>
  <c r="X131" i="10"/>
  <c r="AA131" i="11" s="1"/>
  <c r="T131" i="11"/>
  <c r="M131" i="11"/>
  <c r="F131" i="11"/>
  <c r="AP130" i="10"/>
  <c r="AT130" i="11" s="1"/>
  <c r="X130" i="10"/>
  <c r="AA130" i="11" s="1"/>
  <c r="T130" i="11"/>
  <c r="M130" i="11"/>
  <c r="F130" i="11"/>
  <c r="AN125" i="10"/>
  <c r="AM125" i="10"/>
  <c r="AL125" i="10"/>
  <c r="AP124" i="10"/>
  <c r="AT124" i="11" s="1"/>
  <c r="T124" i="10"/>
  <c r="M124" i="11"/>
  <c r="F124" i="11"/>
  <c r="AP123" i="10"/>
  <c r="AT123" i="11" s="1"/>
  <c r="W123" i="10"/>
  <c r="V123" i="10"/>
  <c r="T123" i="11"/>
  <c r="M123" i="11"/>
  <c r="AP122" i="10"/>
  <c r="AT122" i="11" s="1"/>
  <c r="X122" i="10"/>
  <c r="AA122" i="11" s="1"/>
  <c r="U125" i="10"/>
  <c r="U126" i="10" s="1"/>
  <c r="T122" i="11"/>
  <c r="M122" i="11"/>
  <c r="AP121" i="10"/>
  <c r="AT121" i="11" s="1"/>
  <c r="AP120" i="10"/>
  <c r="AT120" i="11" s="1"/>
  <c r="X120" i="10"/>
  <c r="AA120" i="11" s="1"/>
  <c r="T120" i="11"/>
  <c r="M120" i="11"/>
  <c r="AP119" i="10"/>
  <c r="AT119" i="11" s="1"/>
  <c r="X119" i="10"/>
  <c r="AA119" i="11" s="1"/>
  <c r="T119" i="11"/>
  <c r="M119" i="11"/>
  <c r="AP115" i="10"/>
  <c r="AT115" i="11" s="1"/>
  <c r="X115" i="10"/>
  <c r="AA115" i="11" s="1"/>
  <c r="T115" i="11"/>
  <c r="M115" i="11"/>
  <c r="F115" i="11"/>
  <c r="AP114" i="10"/>
  <c r="AT114" i="11" s="1"/>
  <c r="X114" i="10"/>
  <c r="AA114" i="11" s="1"/>
  <c r="T114" i="11"/>
  <c r="M114" i="11"/>
  <c r="F114" i="11"/>
  <c r="AN112" i="10"/>
  <c r="AM112" i="10"/>
  <c r="AL112" i="10"/>
  <c r="W112" i="10"/>
  <c r="V112" i="10"/>
  <c r="U112" i="10"/>
  <c r="T112" i="10"/>
  <c r="M112" i="11"/>
  <c r="F112" i="11"/>
  <c r="AN109" i="10"/>
  <c r="W109" i="10"/>
  <c r="W110" i="10" s="1"/>
  <c r="U109" i="10"/>
  <c r="U110" i="10" s="1"/>
  <c r="AP108" i="10"/>
  <c r="AT108" i="11" s="1"/>
  <c r="X108" i="10"/>
  <c r="AA108" i="11" s="1"/>
  <c r="T108" i="11"/>
  <c r="M108" i="11"/>
  <c r="F108" i="11"/>
  <c r="AP107" i="10"/>
  <c r="AT107" i="11" s="1"/>
  <c r="X107" i="10"/>
  <c r="AA107" i="11" s="1"/>
  <c r="M107" i="11"/>
  <c r="F107" i="11"/>
  <c r="AP106" i="10"/>
  <c r="AT106" i="11" s="1"/>
  <c r="X106" i="10"/>
  <c r="AA106" i="11" s="1"/>
  <c r="T106" i="11"/>
  <c r="M106" i="11"/>
  <c r="AP105" i="10"/>
  <c r="AT105" i="11" s="1"/>
  <c r="X105" i="10"/>
  <c r="AA105" i="11" s="1"/>
  <c r="T105" i="11"/>
  <c r="M105" i="11"/>
  <c r="AP104" i="10"/>
  <c r="AT104" i="11" s="1"/>
  <c r="X104" i="10"/>
  <c r="AA104" i="11" s="1"/>
  <c r="F104" i="11"/>
  <c r="AP103" i="10"/>
  <c r="AT103" i="11" s="1"/>
  <c r="X103" i="10"/>
  <c r="AA103" i="11" s="1"/>
  <c r="T103" i="11"/>
  <c r="M103" i="11"/>
  <c r="F103" i="11"/>
  <c r="AP102" i="10"/>
  <c r="AT102" i="11" s="1"/>
  <c r="X102" i="10"/>
  <c r="AA102" i="11" s="1"/>
  <c r="T102" i="11"/>
  <c r="M102" i="11"/>
  <c r="F102" i="11"/>
  <c r="AP101" i="10"/>
  <c r="AT101" i="11" s="1"/>
  <c r="X101" i="10"/>
  <c r="AA101" i="11" s="1"/>
  <c r="T101" i="11"/>
  <c r="M101" i="11"/>
  <c r="F101" i="11"/>
  <c r="AP100" i="10"/>
  <c r="AT100" i="11" s="1"/>
  <c r="X100" i="10"/>
  <c r="AA100" i="11" s="1"/>
  <c r="T100" i="11"/>
  <c r="M100" i="11"/>
  <c r="F100" i="11"/>
  <c r="BA99" i="11"/>
  <c r="AP99" i="10"/>
  <c r="AT99" i="11" s="1"/>
  <c r="X99" i="10"/>
  <c r="AA99" i="11" s="1"/>
  <c r="T99" i="11"/>
  <c r="M99" i="11"/>
  <c r="AP98" i="10"/>
  <c r="AT98" i="11" s="1"/>
  <c r="X98" i="10"/>
  <c r="AA98" i="11" s="1"/>
  <c r="T98" i="11"/>
  <c r="M98" i="11"/>
  <c r="F98" i="11"/>
  <c r="AP97" i="10"/>
  <c r="AT97" i="11" s="1"/>
  <c r="X97" i="10"/>
  <c r="AA97" i="11" s="1"/>
  <c r="T97" i="11"/>
  <c r="M97" i="11"/>
  <c r="F97" i="11"/>
  <c r="AP96" i="10"/>
  <c r="AT96" i="11" s="1"/>
  <c r="X96" i="10"/>
  <c r="AA96" i="11" s="1"/>
  <c r="T96" i="11"/>
  <c r="M96" i="11"/>
  <c r="AP95" i="10"/>
  <c r="AT95" i="11" s="1"/>
  <c r="X95" i="10"/>
  <c r="AA95" i="11" s="1"/>
  <c r="M95" i="11"/>
  <c r="F95" i="11"/>
  <c r="AP94" i="10"/>
  <c r="AT94" i="11" s="1"/>
  <c r="AM109" i="10"/>
  <c r="X94" i="10"/>
  <c r="AA94" i="11" s="1"/>
  <c r="T94" i="11"/>
  <c r="M94" i="11"/>
  <c r="AP93" i="10"/>
  <c r="AT93" i="11" s="1"/>
  <c r="X93" i="10"/>
  <c r="AA93" i="11" s="1"/>
  <c r="T93" i="11"/>
  <c r="AP88" i="10"/>
  <c r="AT88" i="11" s="1"/>
  <c r="AN88" i="10"/>
  <c r="AM88" i="10"/>
  <c r="AL88" i="10"/>
  <c r="X88" i="10"/>
  <c r="AA88" i="11" s="1"/>
  <c r="W88" i="10"/>
  <c r="V88" i="10"/>
  <c r="U88" i="10"/>
  <c r="T88" i="10"/>
  <c r="M88" i="11"/>
  <c r="F88" i="11"/>
  <c r="T87" i="11"/>
  <c r="T86" i="11"/>
  <c r="T85" i="11"/>
  <c r="AN82" i="10"/>
  <c r="AM82" i="10"/>
  <c r="AL82" i="10"/>
  <c r="W82" i="10"/>
  <c r="AP81" i="10"/>
  <c r="AT81" i="11" s="1"/>
  <c r="X81" i="10"/>
  <c r="AA81" i="11" s="1"/>
  <c r="T81" i="11"/>
  <c r="AP80" i="10"/>
  <c r="AT80" i="11" s="1"/>
  <c r="V82" i="10"/>
  <c r="BA79" i="11"/>
  <c r="AP79" i="10"/>
  <c r="AT79" i="11" s="1"/>
  <c r="X79" i="10"/>
  <c r="AA79" i="11" s="1"/>
  <c r="T79" i="11"/>
  <c r="M79" i="11"/>
  <c r="F79" i="11"/>
  <c r="AP78" i="10"/>
  <c r="AT78" i="11" s="1"/>
  <c r="X78" i="10"/>
  <c r="AA78" i="11" s="1"/>
  <c r="T78" i="11"/>
  <c r="M78" i="11"/>
  <c r="F78" i="11"/>
  <c r="AP77" i="10"/>
  <c r="AT77" i="11" s="1"/>
  <c r="X77" i="10"/>
  <c r="AA77" i="11" s="1"/>
  <c r="T77" i="11"/>
  <c r="M77" i="11"/>
  <c r="F77" i="11"/>
  <c r="AP76" i="10"/>
  <c r="AT76" i="11" s="1"/>
  <c r="X76" i="10"/>
  <c r="AA76" i="11" s="1"/>
  <c r="T76" i="11"/>
  <c r="M76" i="11"/>
  <c r="F76" i="11"/>
  <c r="AP75" i="10"/>
  <c r="AT75" i="11" s="1"/>
  <c r="T75" i="11"/>
  <c r="M75" i="11"/>
  <c r="F75" i="11"/>
  <c r="AP74" i="10"/>
  <c r="AT74" i="11" s="1"/>
  <c r="X74" i="10"/>
  <c r="AA74" i="11" s="1"/>
  <c r="T74" i="11"/>
  <c r="F74" i="11"/>
  <c r="BA73" i="11"/>
  <c r="AP73" i="10"/>
  <c r="AT73" i="11" s="1"/>
  <c r="X73" i="10"/>
  <c r="AA73" i="11" s="1"/>
  <c r="T73" i="11"/>
  <c r="M73" i="11"/>
  <c r="F73" i="11"/>
  <c r="AP72" i="10"/>
  <c r="AT72" i="11" s="1"/>
  <c r="T72" i="10"/>
  <c r="T72" i="11"/>
  <c r="M72" i="11"/>
  <c r="F72" i="11"/>
  <c r="AP71" i="10"/>
  <c r="AT71" i="11" s="1"/>
  <c r="F71" i="11"/>
  <c r="AP70" i="10"/>
  <c r="AT70" i="11" s="1"/>
  <c r="AP69" i="10"/>
  <c r="AT69" i="11" s="1"/>
  <c r="F69" i="11"/>
  <c r="AP68" i="10"/>
  <c r="AT68" i="11" s="1"/>
  <c r="BA67" i="11"/>
  <c r="AP67" i="10"/>
  <c r="X67" i="10"/>
  <c r="W67" i="10"/>
  <c r="W84" i="10" s="1"/>
  <c r="W91" i="10" s="1"/>
  <c r="W118" i="10" s="1"/>
  <c r="W134" i="10" s="1"/>
  <c r="V63" i="10"/>
  <c r="U63" i="10"/>
  <c r="U129" i="10" s="1"/>
  <c r="AN61" i="10"/>
  <c r="AN64" i="10" s="1"/>
  <c r="AN113" i="10" s="1"/>
  <c r="AM61" i="10"/>
  <c r="AM64" i="10" s="1"/>
  <c r="AM113" i="10" s="1"/>
  <c r="AL61" i="10"/>
  <c r="AL64" i="10" s="1"/>
  <c r="AL113" i="10" s="1"/>
  <c r="W61" i="10"/>
  <c r="W64" i="10" s="1"/>
  <c r="V61" i="10"/>
  <c r="V64" i="10" s="1"/>
  <c r="U61" i="10"/>
  <c r="U64" i="10" s="1"/>
  <c r="U113" i="10" s="1"/>
  <c r="T61" i="10"/>
  <c r="T64" i="10" s="1"/>
  <c r="AP60" i="10"/>
  <c r="AT60" i="11" s="1"/>
  <c r="X60" i="10"/>
  <c r="AA60" i="11" s="1"/>
  <c r="T60" i="11"/>
  <c r="M60" i="11"/>
  <c r="F60" i="11"/>
  <c r="AP59" i="10"/>
  <c r="AT59" i="11" s="1"/>
  <c r="X59" i="10"/>
  <c r="AA59" i="11" s="1"/>
  <c r="T59" i="11"/>
  <c r="M59" i="11"/>
  <c r="F59" i="11"/>
  <c r="AP58" i="10"/>
  <c r="AT58" i="11" s="1"/>
  <c r="X58" i="10"/>
  <c r="AA58" i="11" s="1"/>
  <c r="T58" i="11"/>
  <c r="M58" i="11"/>
  <c r="F58" i="11"/>
  <c r="AP57" i="10"/>
  <c r="AT57" i="11" s="1"/>
  <c r="X57" i="10"/>
  <c r="AA57" i="11" s="1"/>
  <c r="T57" i="11"/>
  <c r="M57" i="11"/>
  <c r="F57" i="11"/>
  <c r="AP56" i="10"/>
  <c r="AT56" i="11" s="1"/>
  <c r="X56" i="10"/>
  <c r="AA56" i="11" s="1"/>
  <c r="T56" i="11"/>
  <c r="M56" i="11"/>
  <c r="F56" i="11"/>
  <c r="BA55" i="11"/>
  <c r="AP55" i="10"/>
  <c r="AT55" i="11" s="1"/>
  <c r="X55" i="10"/>
  <c r="AA55" i="11" s="1"/>
  <c r="T55" i="11"/>
  <c r="M55" i="11"/>
  <c r="F55" i="11"/>
  <c r="AP54" i="10"/>
  <c r="AT54" i="11" s="1"/>
  <c r="X54" i="10"/>
  <c r="AA54" i="11" s="1"/>
  <c r="T54" i="11"/>
  <c r="M54" i="11"/>
  <c r="F54" i="11"/>
  <c r="BA53" i="11"/>
  <c r="AP53" i="10"/>
  <c r="AT53" i="11" s="1"/>
  <c r="X53" i="10"/>
  <c r="AA53" i="11" s="1"/>
  <c r="T53" i="11"/>
  <c r="M53" i="11"/>
  <c r="F53" i="11"/>
  <c r="BA52" i="11"/>
  <c r="AP52" i="10"/>
  <c r="AT52" i="11" s="1"/>
  <c r="X52" i="10"/>
  <c r="AA52" i="11" s="1"/>
  <c r="T52" i="11"/>
  <c r="M52" i="11"/>
  <c r="F52" i="11"/>
  <c r="AP51" i="10"/>
  <c r="AT51" i="11" s="1"/>
  <c r="X51" i="10"/>
  <c r="AA51" i="11" s="1"/>
  <c r="T51" i="11"/>
  <c r="M51" i="11"/>
  <c r="F51" i="11"/>
  <c r="AP50" i="10"/>
  <c r="AT50" i="11" s="1"/>
  <c r="X50" i="10"/>
  <c r="AA50" i="11" s="1"/>
  <c r="T50" i="11"/>
  <c r="M50" i="11"/>
  <c r="F50" i="11"/>
  <c r="AP49" i="10"/>
  <c r="AT49" i="11" s="1"/>
  <c r="X49" i="10"/>
  <c r="AA49" i="11" s="1"/>
  <c r="T49" i="11"/>
  <c r="M49" i="11"/>
  <c r="F49" i="11"/>
  <c r="AP48" i="10"/>
  <c r="AT48" i="11" s="1"/>
  <c r="X48" i="10"/>
  <c r="AA48" i="11" s="1"/>
  <c r="T48" i="11"/>
  <c r="M48" i="11"/>
  <c r="F48" i="11"/>
  <c r="AP47" i="10"/>
  <c r="AT47" i="11" s="1"/>
  <c r="X47" i="10"/>
  <c r="AA47" i="11" s="1"/>
  <c r="T47" i="11"/>
  <c r="M47" i="11"/>
  <c r="F47" i="11"/>
  <c r="AP46" i="10"/>
  <c r="AT46" i="11" s="1"/>
  <c r="X46" i="10"/>
  <c r="AA46" i="11" s="1"/>
  <c r="T46" i="11"/>
  <c r="M46" i="11"/>
  <c r="F46" i="11"/>
  <c r="AP45" i="10"/>
  <c r="AT45" i="11" s="1"/>
  <c r="X45" i="10"/>
  <c r="AA45" i="11" s="1"/>
  <c r="T45" i="11"/>
  <c r="M45" i="11"/>
  <c r="F45" i="11"/>
  <c r="BA44" i="11"/>
  <c r="AP44" i="10"/>
  <c r="AT44" i="11" s="1"/>
  <c r="X44" i="10"/>
  <c r="AA44" i="11" s="1"/>
  <c r="T44" i="11"/>
  <c r="M44" i="11"/>
  <c r="F44" i="11"/>
  <c r="AP43" i="10"/>
  <c r="AT43" i="11" s="1"/>
  <c r="X43" i="10"/>
  <c r="AA43" i="11" s="1"/>
  <c r="T43" i="11"/>
  <c r="M43" i="11"/>
  <c r="F43" i="11"/>
  <c r="AP42" i="10"/>
  <c r="AT42" i="11" s="1"/>
  <c r="X42" i="10"/>
  <c r="AA42" i="11" s="1"/>
  <c r="T42" i="11"/>
  <c r="M42" i="11"/>
  <c r="F42" i="11"/>
  <c r="AP41" i="10"/>
  <c r="AT41" i="11" s="1"/>
  <c r="X41" i="10"/>
  <c r="AA41" i="11" s="1"/>
  <c r="T41" i="11"/>
  <c r="M41" i="11"/>
  <c r="F41" i="11"/>
  <c r="AP40" i="10"/>
  <c r="AT40" i="11" s="1"/>
  <c r="X40" i="10"/>
  <c r="AA40" i="11" s="1"/>
  <c r="T40" i="11"/>
  <c r="M40" i="11"/>
  <c r="F40" i="11"/>
  <c r="AP39" i="10"/>
  <c r="AT39" i="11" s="1"/>
  <c r="X39" i="10"/>
  <c r="AA39" i="11" s="1"/>
  <c r="T39" i="11"/>
  <c r="M39" i="11"/>
  <c r="F39" i="11"/>
  <c r="BA38" i="11"/>
  <c r="AP38" i="10"/>
  <c r="AT38" i="11" s="1"/>
  <c r="X38" i="10"/>
  <c r="AA38" i="11" s="1"/>
  <c r="W38" i="10"/>
  <c r="T38" i="11"/>
  <c r="M38" i="11"/>
  <c r="F38" i="11"/>
  <c r="AN36" i="10"/>
  <c r="AN128" i="10" s="1"/>
  <c r="AM36" i="10"/>
  <c r="AL36" i="10"/>
  <c r="AL128" i="10" s="1"/>
  <c r="W36" i="10"/>
  <c r="W154" i="10" s="1"/>
  <c r="V36" i="10"/>
  <c r="V154" i="10" s="1"/>
  <c r="U36" i="10"/>
  <c r="U154" i="10" s="1"/>
  <c r="T36" i="10"/>
  <c r="AP35" i="10"/>
  <c r="AT35" i="11" s="1"/>
  <c r="X35" i="10"/>
  <c r="AA35" i="11" s="1"/>
  <c r="T35" i="11"/>
  <c r="M35" i="11"/>
  <c r="F35" i="11"/>
  <c r="AP34" i="10"/>
  <c r="AT34" i="11" s="1"/>
  <c r="X34" i="10"/>
  <c r="AA34" i="11" s="1"/>
  <c r="T34" i="11"/>
  <c r="M34" i="11"/>
  <c r="F34" i="11"/>
  <c r="AP33" i="10"/>
  <c r="AT33" i="11" s="1"/>
  <c r="X33" i="10"/>
  <c r="AA33" i="11" s="1"/>
  <c r="T33" i="11"/>
  <c r="M33" i="11"/>
  <c r="F33" i="11"/>
  <c r="AP32" i="10"/>
  <c r="AT32" i="11" s="1"/>
  <c r="X32" i="10"/>
  <c r="AA32" i="11" s="1"/>
  <c r="T32" i="11"/>
  <c r="M32" i="11"/>
  <c r="F32" i="11"/>
  <c r="AP31" i="10"/>
  <c r="AT31" i="11" s="1"/>
  <c r="X31" i="10"/>
  <c r="AA31" i="11" s="1"/>
  <c r="T31" i="11"/>
  <c r="M31" i="11"/>
  <c r="F31" i="11"/>
  <c r="BA30" i="11"/>
  <c r="AP30" i="10"/>
  <c r="AT30" i="11" s="1"/>
  <c r="X30" i="10"/>
  <c r="AA30" i="11" s="1"/>
  <c r="T30" i="11"/>
  <c r="M30" i="11"/>
  <c r="AP29" i="10"/>
  <c r="AT29" i="11" s="1"/>
  <c r="X29" i="10"/>
  <c r="AA29" i="11" s="1"/>
  <c r="T29" i="11"/>
  <c r="M29" i="11"/>
  <c r="F29" i="11"/>
  <c r="AP28" i="10"/>
  <c r="AT28" i="11" s="1"/>
  <c r="X28" i="10"/>
  <c r="AA28" i="11" s="1"/>
  <c r="T28" i="11"/>
  <c r="M28" i="11"/>
  <c r="F28" i="11"/>
  <c r="AP27" i="10"/>
  <c r="AT27" i="11" s="1"/>
  <c r="X27" i="10"/>
  <c r="AA27" i="11" s="1"/>
  <c r="T27" i="11"/>
  <c r="M27" i="11"/>
  <c r="F27" i="11"/>
  <c r="BA26" i="11"/>
  <c r="AP26" i="10"/>
  <c r="AT26" i="11" s="1"/>
  <c r="X26" i="10"/>
  <c r="AA26" i="11" s="1"/>
  <c r="W26" i="10"/>
  <c r="T26" i="11"/>
  <c r="M26" i="11"/>
  <c r="F26" i="11"/>
  <c r="AP25" i="10"/>
  <c r="AT25" i="11" s="1"/>
  <c r="X25" i="10"/>
  <c r="AA25" i="11" s="1"/>
  <c r="T25" i="11"/>
  <c r="M25" i="11"/>
  <c r="F25" i="11"/>
  <c r="AP24" i="10"/>
  <c r="AT24" i="11" s="1"/>
  <c r="X24" i="10"/>
  <c r="AA24" i="11" s="1"/>
  <c r="T24" i="11"/>
  <c r="M24" i="11"/>
  <c r="F24" i="11"/>
  <c r="AP23" i="10"/>
  <c r="AT23" i="11" s="1"/>
  <c r="X23" i="10"/>
  <c r="AA23" i="11" s="1"/>
  <c r="T23" i="11"/>
  <c r="M23" i="11"/>
  <c r="F23" i="11"/>
  <c r="AP22" i="10"/>
  <c r="AT22" i="11" s="1"/>
  <c r="X22" i="10"/>
  <c r="AA22" i="11" s="1"/>
  <c r="T22" i="11"/>
  <c r="M22" i="11"/>
  <c r="F22" i="11"/>
  <c r="AP21" i="10"/>
  <c r="AT21" i="11" s="1"/>
  <c r="X21" i="10"/>
  <c r="AA21" i="11" s="1"/>
  <c r="T21" i="11"/>
  <c r="M21" i="11"/>
  <c r="F21" i="11"/>
  <c r="AL17" i="10"/>
  <c r="AL148" i="10" s="1"/>
  <c r="AP148" i="10" s="1"/>
  <c r="AT148" i="11" s="1"/>
  <c r="U17" i="10"/>
  <c r="F164" i="11"/>
  <c r="BA16" i="11"/>
  <c r="BA15" i="11"/>
  <c r="BA14" i="11"/>
  <c r="BA13" i="11"/>
  <c r="BA12" i="11"/>
  <c r="BA11" i="11"/>
  <c r="BA10" i="11"/>
  <c r="BA9" i="11"/>
  <c r="BA8" i="11"/>
  <c r="BA7" i="11"/>
  <c r="T6" i="10"/>
  <c r="T5" i="10"/>
  <c r="AA5" i="11" s="1"/>
  <c r="T4" i="10"/>
  <c r="AA4" i="11" s="1"/>
  <c r="AL3" i="10"/>
  <c r="AS37" i="11"/>
  <c r="AS62" i="11"/>
  <c r="AS66" i="11"/>
  <c r="AS85" i="11"/>
  <c r="AS86" i="11"/>
  <c r="AS87" i="11"/>
  <c r="AS117" i="11"/>
  <c r="AS133" i="11"/>
  <c r="AS142" i="11"/>
  <c r="AS150" i="11"/>
  <c r="AS160" i="11"/>
  <c r="AS172" i="11"/>
  <c r="AS195" i="11"/>
  <c r="AS208" i="11"/>
  <c r="AS210" i="11"/>
  <c r="AS211" i="11"/>
  <c r="AS217" i="11"/>
  <c r="AS219" i="11"/>
  <c r="AS20" i="11"/>
  <c r="X218" i="15" l="1"/>
  <c r="AB218" i="11" s="1"/>
  <c r="AP173" i="15"/>
  <c r="AU161" i="11"/>
  <c r="X173" i="15"/>
  <c r="AB161" i="11"/>
  <c r="AN171" i="11"/>
  <c r="AJ209" i="15"/>
  <c r="AJ218" i="15" s="1"/>
  <c r="AN218" i="11" s="1"/>
  <c r="U218" i="11"/>
  <c r="U209" i="11"/>
  <c r="V125" i="10"/>
  <c r="V126" i="10" s="1"/>
  <c r="AL63" i="10"/>
  <c r="AL129" i="10" s="1"/>
  <c r="BA4" i="11"/>
  <c r="T17" i="10"/>
  <c r="AA17" i="11" s="1"/>
  <c r="AA6" i="11"/>
  <c r="W125" i="10"/>
  <c r="W126" i="10" s="1"/>
  <c r="W63" i="10"/>
  <c r="W159" i="10"/>
  <c r="X124" i="10"/>
  <c r="AA124" i="11" s="1"/>
  <c r="V159" i="10"/>
  <c r="X123" i="10"/>
  <c r="AA123" i="11" s="1"/>
  <c r="AO132" i="10"/>
  <c r="AO209" i="10" s="1"/>
  <c r="AO218" i="10" s="1"/>
  <c r="T2" i="11"/>
  <c r="M2" i="11"/>
  <c r="AO132" i="3"/>
  <c r="AO209" i="3" s="1"/>
  <c r="AO218" i="3" s="1"/>
  <c r="BB218" i="11"/>
  <c r="AN126" i="10"/>
  <c r="AN127" i="10"/>
  <c r="AP84" i="10"/>
  <c r="AT67" i="11"/>
  <c r="BA25" i="11"/>
  <c r="W113" i="10"/>
  <c r="BA114" i="11"/>
  <c r="BA46" i="11"/>
  <c r="X72" i="10"/>
  <c r="AA72" i="11" s="1"/>
  <c r="F30" i="11"/>
  <c r="BA152" i="11"/>
  <c r="BA40" i="11"/>
  <c r="F167" i="11"/>
  <c r="AN111" i="10"/>
  <c r="AN110" i="10"/>
  <c r="AN116" i="10" s="1"/>
  <c r="BA39" i="11"/>
  <c r="AP113" i="10"/>
  <c r="AT113" i="11" s="1"/>
  <c r="BA204" i="11"/>
  <c r="F212" i="11"/>
  <c r="BA34" i="11"/>
  <c r="X84" i="10"/>
  <c r="AA67" i="11"/>
  <c r="BA115" i="11"/>
  <c r="BA103" i="11"/>
  <c r="BA45" i="11"/>
  <c r="BA58" i="11"/>
  <c r="BA49" i="11"/>
  <c r="AM111" i="10"/>
  <c r="AM110" i="10"/>
  <c r="BA131" i="11"/>
  <c r="BA5" i="11"/>
  <c r="BA28" i="11"/>
  <c r="BA31" i="11"/>
  <c r="BA35" i="11"/>
  <c r="T121" i="11"/>
  <c r="BA57" i="11"/>
  <c r="BA60" i="11"/>
  <c r="BA87" i="11"/>
  <c r="AM141" i="10"/>
  <c r="BA27" i="11"/>
  <c r="F67" i="11"/>
  <c r="BA187" i="11"/>
  <c r="M138" i="11"/>
  <c r="M67" i="11"/>
  <c r="AM126" i="10"/>
  <c r="AM127" i="10"/>
  <c r="AP127" i="10" s="1"/>
  <c r="AT127" i="11" s="1"/>
  <c r="T67" i="11"/>
  <c r="U153" i="10"/>
  <c r="T164" i="10"/>
  <c r="AO132" i="9"/>
  <c r="AO209" i="9" s="1"/>
  <c r="AO218" i="9" s="1"/>
  <c r="AO132" i="4"/>
  <c r="AO209" i="4" s="1"/>
  <c r="AO218" i="4" s="1"/>
  <c r="BA22" i="11"/>
  <c r="T154" i="10"/>
  <c r="T121" i="10"/>
  <c r="T139" i="10"/>
  <c r="T168" i="10"/>
  <c r="T138" i="10"/>
  <c r="T144" i="10"/>
  <c r="T148" i="10"/>
  <c r="AL127" i="10"/>
  <c r="AL126" i="10"/>
  <c r="BA47" i="11"/>
  <c r="BA43" i="11"/>
  <c r="AP159" i="10"/>
  <c r="AT159" i="11" s="1"/>
  <c r="BA51" i="11"/>
  <c r="AP216" i="10"/>
  <c r="AT216" i="11" s="1"/>
  <c r="AT212" i="11"/>
  <c r="BA29" i="11"/>
  <c r="BA96" i="11"/>
  <c r="BA215" i="11"/>
  <c r="BA77" i="11"/>
  <c r="BA130" i="11"/>
  <c r="BA167" i="11"/>
  <c r="BA24" i="11"/>
  <c r="BA33" i="11"/>
  <c r="BA56" i="11"/>
  <c r="T88" i="11"/>
  <c r="BA32" i="11"/>
  <c r="BA59" i="11"/>
  <c r="T61" i="11"/>
  <c r="BA50" i="11"/>
  <c r="BA97" i="11"/>
  <c r="BA166" i="11"/>
  <c r="BA41" i="11"/>
  <c r="BA54" i="11"/>
  <c r="BA190" i="11"/>
  <c r="BA76" i="11"/>
  <c r="BA186" i="11"/>
  <c r="BA182" i="11"/>
  <c r="BA137" i="11"/>
  <c r="BA100" i="11"/>
  <c r="BA147" i="11"/>
  <c r="BA136" i="11"/>
  <c r="BA95" i="11"/>
  <c r="V129" i="10"/>
  <c r="V65" i="10"/>
  <c r="V127" i="10" s="1"/>
  <c r="M104" i="11"/>
  <c r="X36" i="10"/>
  <c r="BA122" i="11"/>
  <c r="F122" i="11"/>
  <c r="T80" i="11"/>
  <c r="X61" i="10"/>
  <c r="T112" i="11"/>
  <c r="BA94" i="11"/>
  <c r="F94" i="11"/>
  <c r="W151" i="10"/>
  <c r="W161" i="10" s="1"/>
  <c r="W173" i="10" s="1"/>
  <c r="W196" i="10" s="1"/>
  <c r="W143" i="10"/>
  <c r="T113" i="10"/>
  <c r="AP36" i="10"/>
  <c r="V113" i="10"/>
  <c r="T70" i="11"/>
  <c r="T69" i="11"/>
  <c r="T2" i="10"/>
  <c r="BA85" i="11"/>
  <c r="BA75" i="11"/>
  <c r="BA169" i="11"/>
  <c r="BA98" i="11"/>
  <c r="F120" i="11"/>
  <c r="BA120" i="11"/>
  <c r="BA165" i="11"/>
  <c r="BA6" i="11"/>
  <c r="F70" i="11"/>
  <c r="BA181" i="11"/>
  <c r="F181" i="11"/>
  <c r="T95" i="11"/>
  <c r="AL146" i="10"/>
  <c r="AP146" i="10" s="1"/>
  <c r="AT146" i="11" s="1"/>
  <c r="AL139" i="10"/>
  <c r="AP139" i="10" s="1"/>
  <c r="AT139" i="11" s="1"/>
  <c r="AM128" i="10"/>
  <c r="AP128" i="10" s="1"/>
  <c r="AT128" i="11" s="1"/>
  <c r="AM63" i="10"/>
  <c r="AP61" i="10"/>
  <c r="AL145" i="10"/>
  <c r="BA23" i="11"/>
  <c r="T128" i="11"/>
  <c r="T206" i="11"/>
  <c r="BA206" i="11"/>
  <c r="T3" i="10"/>
  <c r="AA3" i="11" s="1"/>
  <c r="BA48" i="11"/>
  <c r="U65" i="10"/>
  <c r="U127" i="10" s="1"/>
  <c r="AL138" i="10"/>
  <c r="M168" i="11"/>
  <c r="M139" i="11"/>
  <c r="M146" i="11"/>
  <c r="M178" i="11"/>
  <c r="M148" i="11"/>
  <c r="M164" i="11"/>
  <c r="M145" i="11"/>
  <c r="T128" i="10"/>
  <c r="T63" i="10"/>
  <c r="AP82" i="10"/>
  <c r="AT82" i="11" s="1"/>
  <c r="T71" i="11"/>
  <c r="X205" i="10"/>
  <c r="BA205" i="11"/>
  <c r="BA21" i="11"/>
  <c r="U128" i="10"/>
  <c r="AL65" i="10"/>
  <c r="M74" i="11"/>
  <c r="X75" i="10"/>
  <c r="AA75" i="11" s="1"/>
  <c r="U82" i="10"/>
  <c r="X80" i="10"/>
  <c r="AA80" i="11" s="1"/>
  <c r="V109" i="10"/>
  <c r="V110" i="10" s="1"/>
  <c r="AL109" i="10"/>
  <c r="BA183" i="11"/>
  <c r="BA86" i="11"/>
  <c r="X109" i="10"/>
  <c r="AA109" i="11" s="1"/>
  <c r="U116" i="10"/>
  <c r="BA185" i="11"/>
  <c r="F203" i="11"/>
  <c r="AP109" i="10"/>
  <c r="AT109" i="11" s="1"/>
  <c r="T104" i="11"/>
  <c r="X112" i="10"/>
  <c r="AA112" i="11" s="1"/>
  <c r="BA124" i="11"/>
  <c r="M140" i="11"/>
  <c r="AP194" i="10"/>
  <c r="AT194" i="11" s="1"/>
  <c r="BA175" i="11"/>
  <c r="BA180" i="11"/>
  <c r="BA192" i="11"/>
  <c r="BA72" i="11"/>
  <c r="BA78" i="11"/>
  <c r="BA81" i="11"/>
  <c r="T140" i="11"/>
  <c r="F184" i="11"/>
  <c r="BA184" i="11"/>
  <c r="BA191" i="11"/>
  <c r="BA202" i="11"/>
  <c r="F80" i="11"/>
  <c r="F81" i="11"/>
  <c r="M162" i="11"/>
  <c r="BA176" i="11"/>
  <c r="T207" i="10"/>
  <c r="F202" i="11"/>
  <c r="AN63" i="10"/>
  <c r="BA108" i="11"/>
  <c r="AP112" i="10"/>
  <c r="AT112" i="11" s="1"/>
  <c r="F201" i="11"/>
  <c r="BA201" i="11"/>
  <c r="BA199" i="11"/>
  <c r="BA200" i="11"/>
  <c r="F200" i="11"/>
  <c r="BA212" i="11"/>
  <c r="F128" i="11"/>
  <c r="F93" i="11"/>
  <c r="BA102" i="11"/>
  <c r="BA105" i="11"/>
  <c r="F105" i="11"/>
  <c r="BA107" i="11"/>
  <c r="T107" i="11"/>
  <c r="F199" i="11"/>
  <c r="BA106" i="11"/>
  <c r="F119" i="11"/>
  <c r="BA158" i="11"/>
  <c r="T109" i="10"/>
  <c r="T110" i="10" s="1"/>
  <c r="F135" i="11"/>
  <c r="T162" i="11"/>
  <c r="BA189" i="11"/>
  <c r="AP125" i="10"/>
  <c r="AT125" i="11" s="1"/>
  <c r="AP171" i="10"/>
  <c r="AT171" i="11" s="1"/>
  <c r="AL171" i="10"/>
  <c r="F185" i="11"/>
  <c r="BA179" i="11"/>
  <c r="AP203" i="10"/>
  <c r="F179" i="11"/>
  <c r="M207" i="11"/>
  <c r="T186" i="11"/>
  <c r="BA213" i="11"/>
  <c r="X212" i="10"/>
  <c r="BA214" i="11"/>
  <c r="AP196" i="15" l="1"/>
  <c r="AU196" i="11" s="1"/>
  <c r="AU173" i="11"/>
  <c r="X196" i="15"/>
  <c r="AB196" i="11" s="1"/>
  <c r="AB173" i="11"/>
  <c r="AN209" i="11"/>
  <c r="U132" i="10"/>
  <c r="X148" i="10"/>
  <c r="AA148" i="11" s="1"/>
  <c r="X139" i="10"/>
  <c r="AA139" i="11" s="1"/>
  <c r="T145" i="10"/>
  <c r="W65" i="10"/>
  <c r="W111" i="10" s="1"/>
  <c r="W129" i="10"/>
  <c r="X154" i="10"/>
  <c r="AA154" i="11" s="1"/>
  <c r="T146" i="10"/>
  <c r="X168" i="10"/>
  <c r="AA168" i="11" s="1"/>
  <c r="AM116" i="10"/>
  <c r="T178" i="10"/>
  <c r="M69" i="11"/>
  <c r="M70" i="11"/>
  <c r="AF2" i="10"/>
  <c r="AA2" i="11"/>
  <c r="BB209" i="11"/>
  <c r="BC214" i="11"/>
  <c r="BC213" i="11"/>
  <c r="M36" i="11"/>
  <c r="M84" i="11"/>
  <c r="V111" i="10"/>
  <c r="F216" i="11"/>
  <c r="H27" i="2"/>
  <c r="BA112" i="11"/>
  <c r="M109" i="11"/>
  <c r="M93" i="11"/>
  <c r="T84" i="11"/>
  <c r="F84" i="11"/>
  <c r="F63" i="11"/>
  <c r="F36" i="11"/>
  <c r="T113" i="11"/>
  <c r="X91" i="10"/>
  <c r="AA84" i="11"/>
  <c r="T168" i="11"/>
  <c r="T145" i="11"/>
  <c r="T148" i="11"/>
  <c r="AP91" i="10"/>
  <c r="AT84" i="11"/>
  <c r="AL110" i="10"/>
  <c r="AL111" i="10"/>
  <c r="M216" i="11"/>
  <c r="H28" i="2"/>
  <c r="BA84" i="11"/>
  <c r="X64" i="10"/>
  <c r="AA64" i="11" s="1"/>
  <c r="AA61" i="11"/>
  <c r="X63" i="10"/>
  <c r="AA63" i="11" s="1"/>
  <c r="AA36" i="11"/>
  <c r="AP207" i="10"/>
  <c r="AT207" i="11" s="1"/>
  <c r="AT203" i="11"/>
  <c r="AP63" i="10"/>
  <c r="AT36" i="11"/>
  <c r="AP64" i="10"/>
  <c r="AT64" i="11" s="1"/>
  <c r="AT61" i="11"/>
  <c r="BA74" i="11"/>
  <c r="T216" i="11"/>
  <c r="H29" i="2"/>
  <c r="BA123" i="11"/>
  <c r="T64" i="11"/>
  <c r="T65" i="11"/>
  <c r="T36" i="11"/>
  <c r="H12" i="2"/>
  <c r="BA61" i="11"/>
  <c r="BA42" i="11"/>
  <c r="BA216" i="11"/>
  <c r="M63" i="11"/>
  <c r="M64" i="11"/>
  <c r="M61" i="11"/>
  <c r="F61" i="11"/>
  <c r="X216" i="10"/>
  <c r="AA212" i="11"/>
  <c r="X207" i="10"/>
  <c r="AA207" i="11" s="1"/>
  <c r="AA205" i="11"/>
  <c r="T207" i="11"/>
  <c r="T197" i="11"/>
  <c r="T125" i="11"/>
  <c r="T124" i="11"/>
  <c r="F207" i="11"/>
  <c r="M141" i="11"/>
  <c r="V132" i="10"/>
  <c r="F146" i="11"/>
  <c r="M128" i="11"/>
  <c r="BA197" i="11"/>
  <c r="BA93" i="11"/>
  <c r="F139" i="11"/>
  <c r="M113" i="11"/>
  <c r="M154" i="11"/>
  <c r="X144" i="10"/>
  <c r="F126" i="11"/>
  <c r="BA162" i="11"/>
  <c r="BA174" i="11"/>
  <c r="F109" i="11"/>
  <c r="T126" i="11"/>
  <c r="F144" i="11"/>
  <c r="T146" i="11"/>
  <c r="T139" i="11"/>
  <c r="BA138" i="11"/>
  <c r="BA140" i="11"/>
  <c r="T154" i="11"/>
  <c r="F110" i="11"/>
  <c r="T65" i="10"/>
  <c r="T111" i="10" s="1"/>
  <c r="T129" i="10"/>
  <c r="AP145" i="10"/>
  <c r="AL149" i="10"/>
  <c r="X153" i="10"/>
  <c r="AA153" i="11" s="1"/>
  <c r="U159" i="10"/>
  <c r="U209" i="10" s="1"/>
  <c r="U218" i="10" s="1"/>
  <c r="BA3" i="11"/>
  <c r="AP126" i="10"/>
  <c r="AT126" i="11" s="1"/>
  <c r="AL132" i="10"/>
  <c r="X128" i="10"/>
  <c r="AA128" i="11" s="1"/>
  <c r="BA121" i="11"/>
  <c r="T109" i="11"/>
  <c r="BA80" i="11"/>
  <c r="BA104" i="11"/>
  <c r="BA101" i="11"/>
  <c r="AL141" i="10"/>
  <c r="AP138" i="10"/>
  <c r="AM129" i="10"/>
  <c r="AM65" i="10"/>
  <c r="F178" i="11"/>
  <c r="BA88" i="11"/>
  <c r="X121" i="10"/>
  <c r="T125" i="10"/>
  <c r="T126" i="10" s="1"/>
  <c r="M68" i="11"/>
  <c r="F153" i="11"/>
  <c r="M110" i="11"/>
  <c r="T69" i="10"/>
  <c r="T68" i="10"/>
  <c r="T193" i="10" s="1"/>
  <c r="X193" i="10" s="1"/>
  <c r="AA193" i="11" s="1"/>
  <c r="T70" i="10"/>
  <c r="X70" i="10" s="1"/>
  <c r="AA70" i="11" s="1"/>
  <c r="T71" i="10"/>
  <c r="X71" i="10" s="1"/>
  <c r="AA71" i="11" s="1"/>
  <c r="AL2" i="10"/>
  <c r="BA2" i="11" s="1"/>
  <c r="X113" i="10"/>
  <c r="AA113" i="11" s="1"/>
  <c r="F168" i="11"/>
  <c r="F154" i="11"/>
  <c r="BA119" i="11"/>
  <c r="AN129" i="10"/>
  <c r="AN132" i="10" s="1"/>
  <c r="AN209" i="10" s="1"/>
  <c r="AN218" i="10" s="1"/>
  <c r="AN65" i="10"/>
  <c r="F148" i="11"/>
  <c r="BA164" i="11"/>
  <c r="BA135" i="11"/>
  <c r="M71" i="11"/>
  <c r="M153" i="11"/>
  <c r="F145" i="11"/>
  <c r="X164" i="10"/>
  <c r="AA164" i="11" s="1"/>
  <c r="F113" i="11"/>
  <c r="X110" i="10"/>
  <c r="AA110" i="11" s="1"/>
  <c r="BA203" i="11"/>
  <c r="AP111" i="10"/>
  <c r="AT111" i="11" s="1"/>
  <c r="F138" i="11"/>
  <c r="T110" i="11"/>
  <c r="T141" i="10"/>
  <c r="X138" i="10"/>
  <c r="W116" i="10" l="1"/>
  <c r="X146" i="10"/>
  <c r="AA146" i="11" s="1"/>
  <c r="W127" i="10"/>
  <c r="AM132" i="10"/>
  <c r="AM209" i="10" s="1"/>
  <c r="AM218" i="10" s="1"/>
  <c r="X129" i="10"/>
  <c r="AA129" i="11" s="1"/>
  <c r="V116" i="10"/>
  <c r="V209" i="10" s="1"/>
  <c r="V218" i="10" s="1"/>
  <c r="X145" i="10"/>
  <c r="AA145" i="11" s="1"/>
  <c r="BA145" i="11"/>
  <c r="X178" i="10"/>
  <c r="AA178" i="11" s="1"/>
  <c r="BA178" i="11"/>
  <c r="T149" i="10"/>
  <c r="H5" i="2"/>
  <c r="BA17" i="11"/>
  <c r="T194" i="10"/>
  <c r="M157" i="11"/>
  <c r="M170" i="11"/>
  <c r="AF71" i="10"/>
  <c r="AJ71" i="10" s="1"/>
  <c r="AM71" i="11" s="1"/>
  <c r="AF70" i="10"/>
  <c r="AJ70" i="10" s="1"/>
  <c r="AM70" i="11" s="1"/>
  <c r="AF69" i="10"/>
  <c r="AJ69" i="10" s="1"/>
  <c r="AM69" i="11" s="1"/>
  <c r="AF68" i="10"/>
  <c r="H11" i="2"/>
  <c r="F125" i="11"/>
  <c r="F121" i="11"/>
  <c r="M149" i="11"/>
  <c r="M144" i="11"/>
  <c r="M65" i="11"/>
  <c r="F91" i="11"/>
  <c r="T127" i="10"/>
  <c r="M91" i="11"/>
  <c r="T91" i="11"/>
  <c r="X118" i="10"/>
  <c r="AA91" i="11"/>
  <c r="T129" i="11"/>
  <c r="BA91" i="11"/>
  <c r="AP118" i="10"/>
  <c r="AT91" i="11"/>
  <c r="M125" i="11"/>
  <c r="M121" i="11"/>
  <c r="F82" i="11"/>
  <c r="F68" i="11"/>
  <c r="X65" i="10"/>
  <c r="AA65" i="11" s="1"/>
  <c r="T116" i="10"/>
  <c r="AP65" i="10"/>
  <c r="AT65" i="11" s="1"/>
  <c r="AT63" i="11"/>
  <c r="AP141" i="10"/>
  <c r="AT141" i="11" s="1"/>
  <c r="AT138" i="11"/>
  <c r="BA64" i="11"/>
  <c r="AP149" i="10"/>
  <c r="AT149" i="11" s="1"/>
  <c r="AT145" i="11"/>
  <c r="BA128" i="11"/>
  <c r="AA216" i="11"/>
  <c r="H30" i="2"/>
  <c r="BA63" i="11"/>
  <c r="BA36" i="11"/>
  <c r="T63" i="11"/>
  <c r="BA126" i="11"/>
  <c r="M127" i="11"/>
  <c r="F64" i="11"/>
  <c r="F65" i="11"/>
  <c r="AA144" i="11"/>
  <c r="X141" i="10"/>
  <c r="AA141" i="11" s="1"/>
  <c r="AA138" i="11"/>
  <c r="X125" i="10"/>
  <c r="AA125" i="11" s="1"/>
  <c r="AA121" i="11"/>
  <c r="T111" i="11"/>
  <c r="F141" i="11"/>
  <c r="M82" i="11"/>
  <c r="BA110" i="11"/>
  <c r="BA144" i="11"/>
  <c r="M126" i="11"/>
  <c r="X126" i="10"/>
  <c r="AA126" i="11" s="1"/>
  <c r="BA154" i="11"/>
  <c r="M156" i="11"/>
  <c r="AL116" i="10"/>
  <c r="AL209" i="10" s="1"/>
  <c r="AL218" i="10" s="1"/>
  <c r="AP110" i="10"/>
  <c r="BA168" i="11"/>
  <c r="BA207" i="11"/>
  <c r="M129" i="11"/>
  <c r="BA125" i="11"/>
  <c r="T127" i="11"/>
  <c r="BA146" i="11"/>
  <c r="BA109" i="11"/>
  <c r="T170" i="10"/>
  <c r="X68" i="10"/>
  <c r="AA68" i="11" s="1"/>
  <c r="T157" i="10"/>
  <c r="X157" i="10" s="1"/>
  <c r="AA157" i="11" s="1"/>
  <c r="T82" i="10"/>
  <c r="T156" i="10"/>
  <c r="T153" i="11"/>
  <c r="X69" i="10"/>
  <c r="AA69" i="11" s="1"/>
  <c r="T178" i="11"/>
  <c r="BA113" i="11"/>
  <c r="F129" i="11"/>
  <c r="T193" i="11"/>
  <c r="T157" i="11"/>
  <c r="T170" i="11"/>
  <c r="F157" i="11"/>
  <c r="X111" i="10"/>
  <c r="AA111" i="11" s="1"/>
  <c r="F149" i="11"/>
  <c r="BA148" i="11"/>
  <c r="AP129" i="10"/>
  <c r="T164" i="11"/>
  <c r="X127" i="10" l="1"/>
  <c r="AA127" i="11" s="1"/>
  <c r="X149" i="10"/>
  <c r="AA149" i="11" s="1"/>
  <c r="W132" i="10"/>
  <c r="W209" i="10" s="1"/>
  <c r="W218" i="10" s="1"/>
  <c r="X194" i="10"/>
  <c r="AA194" i="11" s="1"/>
  <c r="BA70" i="11"/>
  <c r="AF156" i="10"/>
  <c r="AJ68" i="10"/>
  <c r="AF170" i="10"/>
  <c r="AF82" i="10"/>
  <c r="AF157" i="10"/>
  <c r="BA71" i="11"/>
  <c r="M171" i="11"/>
  <c r="BA68" i="11"/>
  <c r="BA69" i="11"/>
  <c r="H21" i="2"/>
  <c r="BA118" i="11"/>
  <c r="AP134" i="10"/>
  <c r="AT118" i="11"/>
  <c r="F118" i="11"/>
  <c r="X134" i="10"/>
  <c r="AA118" i="11"/>
  <c r="M118" i="11"/>
  <c r="T118" i="11"/>
  <c r="H16" i="2"/>
  <c r="F194" i="11"/>
  <c r="F193" i="11"/>
  <c r="M159" i="11"/>
  <c r="F159" i="11"/>
  <c r="F156" i="11"/>
  <c r="F171" i="11"/>
  <c r="F170" i="11"/>
  <c r="AP132" i="10"/>
  <c r="AT132" i="11" s="1"/>
  <c r="AT129" i="11"/>
  <c r="BA65" i="11"/>
  <c r="BA141" i="11"/>
  <c r="BA139" i="11"/>
  <c r="M116" i="11"/>
  <c r="M111" i="11"/>
  <c r="F116" i="11"/>
  <c r="F111" i="11"/>
  <c r="AP116" i="10"/>
  <c r="AT116" i="11" s="1"/>
  <c r="AT110" i="11"/>
  <c r="X116" i="10"/>
  <c r="AA116" i="11" s="1"/>
  <c r="M194" i="11"/>
  <c r="M193" i="11"/>
  <c r="T132" i="11"/>
  <c r="T116" i="11"/>
  <c r="T149" i="11"/>
  <c r="T144" i="11"/>
  <c r="T141" i="11"/>
  <c r="T138" i="11"/>
  <c r="T82" i="11"/>
  <c r="T68" i="11"/>
  <c r="T194" i="11"/>
  <c r="BA153" i="11"/>
  <c r="BA149" i="11"/>
  <c r="BA129" i="11"/>
  <c r="T171" i="11"/>
  <c r="X156" i="10"/>
  <c r="T159" i="10"/>
  <c r="T132" i="10"/>
  <c r="X132" i="10"/>
  <c r="AA132" i="11" s="1"/>
  <c r="X82" i="10"/>
  <c r="AA82" i="11" s="1"/>
  <c r="X170" i="10"/>
  <c r="T171" i="10"/>
  <c r="H10" i="2" l="1"/>
  <c r="AJ157" i="10"/>
  <c r="AM157" i="11" s="1"/>
  <c r="BA157" i="11"/>
  <c r="AF194" i="10"/>
  <c r="AJ193" i="10"/>
  <c r="BA193" i="11"/>
  <c r="BH193" i="11" s="1"/>
  <c r="AJ170" i="10"/>
  <c r="AF171" i="10"/>
  <c r="AF209" i="10" s="1"/>
  <c r="AF218" i="10" s="1"/>
  <c r="BA171" i="11"/>
  <c r="AJ82" i="10"/>
  <c r="AM82" i="11" s="1"/>
  <c r="AM68" i="11"/>
  <c r="BA82" i="11"/>
  <c r="AF159" i="10"/>
  <c r="AJ156" i="10"/>
  <c r="X143" i="10"/>
  <c r="AA143" i="11" s="1"/>
  <c r="AA134" i="11"/>
  <c r="X151" i="10"/>
  <c r="F134" i="11"/>
  <c r="F143" i="11"/>
  <c r="T134" i="11"/>
  <c r="T143" i="11"/>
  <c r="M143" i="11"/>
  <c r="M134" i="11"/>
  <c r="AT134" i="11"/>
  <c r="AP143" i="10"/>
  <c r="AT143" i="11" s="1"/>
  <c r="AP151" i="10"/>
  <c r="BA134" i="11"/>
  <c r="BA143" i="11"/>
  <c r="X159" i="10"/>
  <c r="AA159" i="11" s="1"/>
  <c r="AA156" i="11"/>
  <c r="X171" i="10"/>
  <c r="AA171" i="11" s="1"/>
  <c r="AA170" i="11"/>
  <c r="H18" i="2"/>
  <c r="M218" i="11"/>
  <c r="M132" i="11"/>
  <c r="BA116" i="11"/>
  <c r="BA111" i="11"/>
  <c r="F127" i="11"/>
  <c r="AP209" i="10"/>
  <c r="AP218" i="10" s="1"/>
  <c r="AT218" i="11" s="1"/>
  <c r="T159" i="11"/>
  <c r="T156" i="11"/>
  <c r="T209" i="10"/>
  <c r="T218" i="10" s="1"/>
  <c r="BA194" i="11" l="1"/>
  <c r="H20" i="2" s="1"/>
  <c r="AW193" i="10"/>
  <c r="AJ194" i="10"/>
  <c r="AM193" i="11"/>
  <c r="BA170" i="11"/>
  <c r="AM170" i="11"/>
  <c r="AJ171" i="10"/>
  <c r="AM171" i="11" s="1"/>
  <c r="AM156" i="11"/>
  <c r="AJ159" i="10"/>
  <c r="AM159" i="11" s="1"/>
  <c r="X209" i="10"/>
  <c r="AA209" i="11" s="1"/>
  <c r="F151" i="11"/>
  <c r="M151" i="11"/>
  <c r="T151" i="11"/>
  <c r="BA151" i="11"/>
  <c r="AP161" i="10"/>
  <c r="AT151" i="11"/>
  <c r="X161" i="10"/>
  <c r="AA151" i="11"/>
  <c r="BA159" i="11"/>
  <c r="BA156" i="11"/>
  <c r="T209" i="11"/>
  <c r="M209" i="11"/>
  <c r="F132" i="11"/>
  <c r="BA132" i="11"/>
  <c r="BA127" i="11"/>
  <c r="AT209" i="11"/>
  <c r="X218" i="10" l="1"/>
  <c r="AA218" i="11" s="1"/>
  <c r="AM194" i="11"/>
  <c r="AJ209" i="10"/>
  <c r="H19" i="2"/>
  <c r="H17" i="2"/>
  <c r="M161" i="11"/>
  <c r="X173" i="10"/>
  <c r="AA161" i="11"/>
  <c r="AP173" i="10"/>
  <c r="AT161" i="11"/>
  <c r="BA161" i="11"/>
  <c r="F161" i="11"/>
  <c r="T161" i="11"/>
  <c r="T218" i="11"/>
  <c r="BA209" i="11"/>
  <c r="F218" i="11"/>
  <c r="F209" i="11"/>
  <c r="AJ218" i="10" l="1"/>
  <c r="AM218" i="11" s="1"/>
  <c r="AM209" i="11"/>
  <c r="X196" i="10"/>
  <c r="AA196" i="11" s="1"/>
  <c r="AA173" i="11"/>
  <c r="M196" i="11"/>
  <c r="M173" i="11"/>
  <c r="T196" i="11"/>
  <c r="T173" i="11"/>
  <c r="F196" i="11"/>
  <c r="F173" i="11"/>
  <c r="BA196" i="11"/>
  <c r="BA173" i="11"/>
  <c r="AP196" i="10"/>
  <c r="AT196" i="11" s="1"/>
  <c r="AT173" i="11"/>
  <c r="BA218" i="11"/>
  <c r="AL144" i="9"/>
  <c r="AL165" i="9"/>
  <c r="AM106" i="9"/>
  <c r="AN102" i="9"/>
  <c r="AL98" i="9"/>
  <c r="AL96" i="9"/>
  <c r="AM94" i="9"/>
  <c r="AZ20" i="11"/>
  <c r="AZ37" i="11"/>
  <c r="AZ62" i="11"/>
  <c r="AZ66" i="11"/>
  <c r="AZ117" i="11"/>
  <c r="AZ133" i="11"/>
  <c r="AZ142" i="11"/>
  <c r="AZ150" i="11"/>
  <c r="AZ160" i="11"/>
  <c r="AZ172" i="11"/>
  <c r="AZ195" i="11"/>
  <c r="AZ208" i="11"/>
  <c r="AZ210" i="11"/>
  <c r="AZ211" i="11"/>
  <c r="AZ217" i="11"/>
  <c r="AZ219" i="11"/>
  <c r="S37" i="11"/>
  <c r="S62" i="11"/>
  <c r="S66" i="11"/>
  <c r="S117" i="11"/>
  <c r="S133" i="11"/>
  <c r="S142" i="11"/>
  <c r="S150" i="11"/>
  <c r="S160" i="11"/>
  <c r="S172" i="11"/>
  <c r="S195" i="11"/>
  <c r="S208" i="11"/>
  <c r="S210" i="11"/>
  <c r="S211" i="11"/>
  <c r="S217" i="11"/>
  <c r="S219" i="11"/>
  <c r="S20" i="11"/>
  <c r="T206" i="9"/>
  <c r="T205" i="9"/>
  <c r="T203" i="9"/>
  <c r="T202" i="9"/>
  <c r="T201" i="9"/>
  <c r="T199" i="9"/>
  <c r="T197" i="9"/>
  <c r="T185" i="9"/>
  <c r="T184" i="9"/>
  <c r="T183" i="9"/>
  <c r="T182" i="9"/>
  <c r="T179" i="9"/>
  <c r="T177" i="9"/>
  <c r="T176" i="9"/>
  <c r="T175" i="9"/>
  <c r="T174" i="9"/>
  <c r="V180" i="9"/>
  <c r="V181" i="9"/>
  <c r="T167" i="9"/>
  <c r="T166" i="9"/>
  <c r="T165" i="9"/>
  <c r="U140" i="9"/>
  <c r="U122" i="9"/>
  <c r="Z37" i="11"/>
  <c r="Z62" i="11"/>
  <c r="Z66" i="11"/>
  <c r="Z85" i="11"/>
  <c r="Z86" i="11"/>
  <c r="Z87" i="11"/>
  <c r="Z117" i="11"/>
  <c r="Z133" i="11"/>
  <c r="Z142" i="11"/>
  <c r="Z150" i="11"/>
  <c r="Z160" i="11"/>
  <c r="Z172" i="11"/>
  <c r="Z195" i="11"/>
  <c r="Z208" i="11"/>
  <c r="Z210" i="11"/>
  <c r="Z211" i="11"/>
  <c r="Z217" i="11"/>
  <c r="Z219" i="11"/>
  <c r="Z20" i="11"/>
  <c r="T123" i="9"/>
  <c r="U123" i="9"/>
  <c r="T119" i="9"/>
  <c r="T123" i="4"/>
  <c r="U123" i="4"/>
  <c r="U122" i="4"/>
  <c r="T119" i="4"/>
  <c r="V101" i="9"/>
  <c r="T101" i="9"/>
  <c r="T99" i="9"/>
  <c r="T98" i="9"/>
  <c r="T93" i="9"/>
  <c r="V81" i="9"/>
  <c r="V80" i="9"/>
  <c r="L37" i="11"/>
  <c r="L62" i="11"/>
  <c r="L66" i="11"/>
  <c r="L85" i="11"/>
  <c r="L86" i="11"/>
  <c r="L87" i="11"/>
  <c r="L117" i="11"/>
  <c r="L133" i="11"/>
  <c r="L142" i="11"/>
  <c r="L150" i="11"/>
  <c r="L160" i="11"/>
  <c r="L172" i="11"/>
  <c r="L195" i="11"/>
  <c r="L208" i="11"/>
  <c r="L210" i="11"/>
  <c r="L211" i="11"/>
  <c r="L217" i="11"/>
  <c r="L219" i="11"/>
  <c r="L20" i="11"/>
  <c r="E74" i="11" l="1"/>
  <c r="E81" i="11"/>
  <c r="E181" i="11"/>
  <c r="E206" i="11"/>
  <c r="E202" i="11"/>
  <c r="E184" i="11"/>
  <c r="E182" i="11"/>
  <c r="E179" i="11"/>
  <c r="E25" i="11"/>
  <c r="E29" i="11"/>
  <c r="E30" i="11"/>
  <c r="E31" i="11"/>
  <c r="E32" i="11"/>
  <c r="E37" i="11"/>
  <c r="E42" i="11"/>
  <c r="E43" i="11"/>
  <c r="E44" i="11"/>
  <c r="E54" i="11"/>
  <c r="E55" i="11"/>
  <c r="E56" i="11"/>
  <c r="E62" i="11"/>
  <c r="E66" i="11"/>
  <c r="E77" i="11"/>
  <c r="E78" i="11"/>
  <c r="E79" i="11"/>
  <c r="E85" i="11"/>
  <c r="E86" i="11"/>
  <c r="E87" i="11"/>
  <c r="E91" i="11"/>
  <c r="E100" i="11"/>
  <c r="E103" i="11"/>
  <c r="E104" i="11"/>
  <c r="E115" i="11"/>
  <c r="E117" i="11"/>
  <c r="E118" i="11"/>
  <c r="E119" i="11"/>
  <c r="E130" i="11"/>
  <c r="E133" i="11"/>
  <c r="E134" i="11"/>
  <c r="E137" i="11"/>
  <c r="E142" i="11"/>
  <c r="E147" i="11"/>
  <c r="E150" i="11"/>
  <c r="E160" i="11"/>
  <c r="E172" i="11"/>
  <c r="E186" i="11"/>
  <c r="E187" i="11"/>
  <c r="E188" i="11"/>
  <c r="E189" i="11"/>
  <c r="E191" i="11"/>
  <c r="E195" i="11"/>
  <c r="E198" i="11"/>
  <c r="E199" i="11"/>
  <c r="E204" i="11"/>
  <c r="E208" i="11"/>
  <c r="E210" i="11"/>
  <c r="E211" i="11"/>
  <c r="E217" i="11"/>
  <c r="E219" i="11"/>
  <c r="E220" i="11"/>
  <c r="E20" i="11"/>
  <c r="E108" i="11"/>
  <c r="E102" i="11"/>
  <c r="E99" i="11"/>
  <c r="E98" i="11"/>
  <c r="E93" i="11"/>
  <c r="AZ220" i="11"/>
  <c r="AP220" i="9"/>
  <c r="AS220" i="11" s="1"/>
  <c r="AN220" i="9"/>
  <c r="AM220" i="9"/>
  <c r="AL220" i="9"/>
  <c r="X220" i="9"/>
  <c r="Z220" i="11" s="1"/>
  <c r="W220" i="9"/>
  <c r="V220" i="9"/>
  <c r="U220" i="9"/>
  <c r="T220" i="9"/>
  <c r="S220" i="11"/>
  <c r="L220" i="11"/>
  <c r="A220" i="9"/>
  <c r="AN216" i="9"/>
  <c r="AM216" i="9"/>
  <c r="AL216" i="9"/>
  <c r="W216" i="9"/>
  <c r="V216" i="9"/>
  <c r="U216" i="9"/>
  <c r="AP215" i="9"/>
  <c r="AS215" i="11" s="1"/>
  <c r="X215" i="9"/>
  <c r="Z215" i="11" s="1"/>
  <c r="S215" i="11"/>
  <c r="L215" i="11"/>
  <c r="E215" i="11"/>
  <c r="AZ214" i="11"/>
  <c r="AP214" i="9"/>
  <c r="AS214" i="11" s="1"/>
  <c r="X214" i="9"/>
  <c r="Z214" i="11" s="1"/>
  <c r="S214" i="11"/>
  <c r="L214" i="11"/>
  <c r="E214" i="11"/>
  <c r="AP213" i="9"/>
  <c r="AS213" i="11" s="1"/>
  <c r="X213" i="9"/>
  <c r="Z213" i="11" s="1"/>
  <c r="L213" i="11"/>
  <c r="E213" i="11"/>
  <c r="AP212" i="9"/>
  <c r="AS212" i="11" s="1"/>
  <c r="T216" i="9"/>
  <c r="S212" i="11"/>
  <c r="L212" i="11"/>
  <c r="AN207" i="9"/>
  <c r="AM207" i="9"/>
  <c r="AL207" i="9"/>
  <c r="W207" i="9"/>
  <c r="V207" i="9"/>
  <c r="U207" i="9"/>
  <c r="AP206" i="9"/>
  <c r="AS206" i="11" s="1"/>
  <c r="X206" i="9"/>
  <c r="Z206" i="11" s="1"/>
  <c r="L206" i="11"/>
  <c r="AP205" i="9"/>
  <c r="AS205" i="11" s="1"/>
  <c r="X205" i="9"/>
  <c r="Z205" i="11" s="1"/>
  <c r="S205" i="11"/>
  <c r="L205" i="11"/>
  <c r="E205" i="11"/>
  <c r="AP204" i="9"/>
  <c r="AS204" i="11" s="1"/>
  <c r="X204" i="9"/>
  <c r="Z204" i="11" s="1"/>
  <c r="S204" i="11"/>
  <c r="L204" i="11"/>
  <c r="AP203" i="9"/>
  <c r="AS203" i="11" s="1"/>
  <c r="X203" i="9"/>
  <c r="Z203" i="11" s="1"/>
  <c r="S203" i="11"/>
  <c r="L203" i="11"/>
  <c r="E203" i="11"/>
  <c r="AP202" i="9"/>
  <c r="AS202" i="11" s="1"/>
  <c r="X202" i="9"/>
  <c r="Z202" i="11" s="1"/>
  <c r="S202" i="11"/>
  <c r="AP201" i="9"/>
  <c r="AS201" i="11" s="1"/>
  <c r="L201" i="11"/>
  <c r="E201" i="11"/>
  <c r="AP200" i="9"/>
  <c r="AS200" i="11" s="1"/>
  <c r="X200" i="9"/>
  <c r="Z200" i="11" s="1"/>
  <c r="S200" i="11"/>
  <c r="L200" i="11"/>
  <c r="E200" i="11"/>
  <c r="AZ199" i="11"/>
  <c r="AP199" i="9"/>
  <c r="AS199" i="11" s="1"/>
  <c r="X199" i="9"/>
  <c r="Z199" i="11" s="1"/>
  <c r="S199" i="11"/>
  <c r="L199" i="11"/>
  <c r="AP198" i="9"/>
  <c r="AS198" i="11" s="1"/>
  <c r="X198" i="9"/>
  <c r="Z198" i="11" s="1"/>
  <c r="S198" i="11"/>
  <c r="L198" i="11"/>
  <c r="AP197" i="9"/>
  <c r="X197" i="9"/>
  <c r="Z197" i="11" s="1"/>
  <c r="L197" i="11"/>
  <c r="AN194" i="9"/>
  <c r="AM194" i="9"/>
  <c r="AL194" i="9"/>
  <c r="W194" i="9"/>
  <c r="U194" i="9"/>
  <c r="AP193" i="9"/>
  <c r="AS193" i="11" s="1"/>
  <c r="AP192" i="9"/>
  <c r="AS192" i="11" s="1"/>
  <c r="X192" i="9"/>
  <c r="Z192" i="11" s="1"/>
  <c r="S192" i="11"/>
  <c r="L192" i="11"/>
  <c r="E192" i="11"/>
  <c r="AZ191" i="11"/>
  <c r="AP191" i="9"/>
  <c r="AS191" i="11" s="1"/>
  <c r="X191" i="9"/>
  <c r="Z191" i="11" s="1"/>
  <c r="S191" i="11"/>
  <c r="L191" i="11"/>
  <c r="AP190" i="9"/>
  <c r="AS190" i="11" s="1"/>
  <c r="X190" i="9"/>
  <c r="Z190" i="11" s="1"/>
  <c r="S190" i="11"/>
  <c r="L190" i="11"/>
  <c r="E190" i="11"/>
  <c r="AP189" i="9"/>
  <c r="AS189" i="11" s="1"/>
  <c r="X189" i="9"/>
  <c r="Z189" i="11" s="1"/>
  <c r="S189" i="11"/>
  <c r="L189" i="11"/>
  <c r="AP188" i="9"/>
  <c r="AS188" i="11" s="1"/>
  <c r="X188" i="9"/>
  <c r="Z188" i="11" s="1"/>
  <c r="S188" i="11"/>
  <c r="L188" i="11"/>
  <c r="AP187" i="9"/>
  <c r="AS187" i="11" s="1"/>
  <c r="X187" i="9"/>
  <c r="Z187" i="11" s="1"/>
  <c r="S187" i="11"/>
  <c r="L187" i="11"/>
  <c r="AP186" i="9"/>
  <c r="AS186" i="11" s="1"/>
  <c r="X186" i="9"/>
  <c r="Z186" i="11" s="1"/>
  <c r="S186" i="11"/>
  <c r="L186" i="11"/>
  <c r="AP185" i="9"/>
  <c r="AS185" i="11" s="1"/>
  <c r="X185" i="9"/>
  <c r="Z185" i="11" s="1"/>
  <c r="S185" i="11"/>
  <c r="E185" i="11"/>
  <c r="AP184" i="9"/>
  <c r="AS184" i="11" s="1"/>
  <c r="X184" i="9"/>
  <c r="Z184" i="11" s="1"/>
  <c r="S184" i="11"/>
  <c r="L184" i="11"/>
  <c r="AP183" i="9"/>
  <c r="AS183" i="11" s="1"/>
  <c r="X183" i="9"/>
  <c r="Z183" i="11" s="1"/>
  <c r="S183" i="11"/>
  <c r="L183" i="11"/>
  <c r="E183" i="11"/>
  <c r="AP182" i="9"/>
  <c r="AS182" i="11" s="1"/>
  <c r="X182" i="9"/>
  <c r="Z182" i="11" s="1"/>
  <c r="S182" i="11"/>
  <c r="L182" i="11"/>
  <c r="AP181" i="9"/>
  <c r="AS181" i="11" s="1"/>
  <c r="X181" i="9"/>
  <c r="Z181" i="11" s="1"/>
  <c r="S181" i="11"/>
  <c r="L181" i="11"/>
  <c r="AP180" i="9"/>
  <c r="AS180" i="11" s="1"/>
  <c r="V194" i="9"/>
  <c r="L180" i="11"/>
  <c r="E180" i="11"/>
  <c r="AP179" i="9"/>
  <c r="AS179" i="11" s="1"/>
  <c r="X179" i="9"/>
  <c r="Z179" i="11" s="1"/>
  <c r="S179" i="11"/>
  <c r="L179" i="11"/>
  <c r="AP178" i="9"/>
  <c r="AS178" i="11" s="1"/>
  <c r="AP177" i="9"/>
  <c r="AS177" i="11" s="1"/>
  <c r="X177" i="9"/>
  <c r="Z177" i="11" s="1"/>
  <c r="S177" i="11"/>
  <c r="L177" i="11"/>
  <c r="AP176" i="9"/>
  <c r="AS176" i="11" s="1"/>
  <c r="X176" i="9"/>
  <c r="Z176" i="11" s="1"/>
  <c r="S176" i="11"/>
  <c r="L176" i="11"/>
  <c r="AP175" i="9"/>
  <c r="AS175" i="11" s="1"/>
  <c r="X175" i="9"/>
  <c r="Z175" i="11" s="1"/>
  <c r="S175" i="11"/>
  <c r="L175" i="11"/>
  <c r="E175" i="11"/>
  <c r="AP174" i="9"/>
  <c r="AS174" i="11" s="1"/>
  <c r="X174" i="9"/>
  <c r="Z174" i="11" s="1"/>
  <c r="S174" i="11"/>
  <c r="L174" i="11"/>
  <c r="AN171" i="9"/>
  <c r="AM171" i="9"/>
  <c r="W171" i="9"/>
  <c r="V171" i="9"/>
  <c r="U171" i="9"/>
  <c r="AP170" i="9"/>
  <c r="AS170" i="11" s="1"/>
  <c r="AP169" i="9"/>
  <c r="AS169" i="11" s="1"/>
  <c r="X169" i="9"/>
  <c r="Z169" i="11" s="1"/>
  <c r="S169" i="11"/>
  <c r="L169" i="11"/>
  <c r="E169" i="11"/>
  <c r="AP168" i="9"/>
  <c r="AS168" i="11" s="1"/>
  <c r="AP167" i="9"/>
  <c r="AS167" i="11" s="1"/>
  <c r="X167" i="9"/>
  <c r="Z167" i="11" s="1"/>
  <c r="S167" i="11"/>
  <c r="E167" i="11"/>
  <c r="AP166" i="9"/>
  <c r="AS166" i="11" s="1"/>
  <c r="X166" i="9"/>
  <c r="Z166" i="11" s="1"/>
  <c r="S166" i="11"/>
  <c r="L166" i="11"/>
  <c r="E166" i="11"/>
  <c r="X165" i="9"/>
  <c r="Z165" i="11" s="1"/>
  <c r="S165" i="11"/>
  <c r="L165" i="11"/>
  <c r="AP164" i="9"/>
  <c r="AS164" i="11" s="1"/>
  <c r="AZ163" i="11"/>
  <c r="AP163" i="9"/>
  <c r="AS163" i="11" s="1"/>
  <c r="X163" i="9"/>
  <c r="Z163" i="11" s="1"/>
  <c r="S163" i="11"/>
  <c r="L163" i="11"/>
  <c r="E163" i="11"/>
  <c r="AP162" i="9"/>
  <c r="AS162" i="11" s="1"/>
  <c r="X162" i="9"/>
  <c r="Z162" i="11" s="1"/>
  <c r="S162" i="11"/>
  <c r="AN159" i="9"/>
  <c r="AM159" i="9"/>
  <c r="AL159" i="9"/>
  <c r="AP158" i="9"/>
  <c r="AS158" i="11" s="1"/>
  <c r="X158" i="9"/>
  <c r="Z158" i="11" s="1"/>
  <c r="S158" i="11"/>
  <c r="L158" i="11"/>
  <c r="E158" i="11"/>
  <c r="AP157" i="9"/>
  <c r="AS157" i="11" s="1"/>
  <c r="AP156" i="9"/>
  <c r="AS156" i="11" s="1"/>
  <c r="AP155" i="9"/>
  <c r="AS155" i="11" s="1"/>
  <c r="X155" i="9"/>
  <c r="Z155" i="11" s="1"/>
  <c r="S155" i="11"/>
  <c r="L155" i="11"/>
  <c r="E155" i="11"/>
  <c r="AP154" i="9"/>
  <c r="AS154" i="11" s="1"/>
  <c r="AP153" i="9"/>
  <c r="AS153" i="11" s="1"/>
  <c r="AP152" i="9"/>
  <c r="AS152" i="11" s="1"/>
  <c r="X152" i="9"/>
  <c r="Z152" i="11" s="1"/>
  <c r="S152" i="11"/>
  <c r="L152" i="11"/>
  <c r="AN149" i="9"/>
  <c r="AM149" i="9"/>
  <c r="W149" i="9"/>
  <c r="V149" i="9"/>
  <c r="U149" i="9"/>
  <c r="AL148" i="9"/>
  <c r="AP148" i="9" s="1"/>
  <c r="AS148" i="11" s="1"/>
  <c r="AP147" i="9"/>
  <c r="AS147" i="11" s="1"/>
  <c r="X147" i="9"/>
  <c r="Z147" i="11" s="1"/>
  <c r="S147" i="11"/>
  <c r="L147" i="11"/>
  <c r="AP144" i="9"/>
  <c r="AS144" i="11" s="1"/>
  <c r="AN141" i="9"/>
  <c r="W141" i="9"/>
  <c r="V141" i="9"/>
  <c r="U141" i="9"/>
  <c r="AM140" i="9"/>
  <c r="AP140" i="9" s="1"/>
  <c r="AS140" i="11" s="1"/>
  <c r="X140" i="9"/>
  <c r="Z140" i="11" s="1"/>
  <c r="E140" i="11"/>
  <c r="AP137" i="9"/>
  <c r="AS137" i="11" s="1"/>
  <c r="X137" i="9"/>
  <c r="Z137" i="11" s="1"/>
  <c r="S137" i="11"/>
  <c r="L137" i="11"/>
  <c r="AP136" i="9"/>
  <c r="AS136" i="11" s="1"/>
  <c r="X136" i="9"/>
  <c r="Z136" i="11" s="1"/>
  <c r="S136" i="11"/>
  <c r="L136" i="11"/>
  <c r="E136" i="11"/>
  <c r="AP135" i="9"/>
  <c r="AS135" i="11" s="1"/>
  <c r="X135" i="9"/>
  <c r="Z135" i="11" s="1"/>
  <c r="S135" i="11"/>
  <c r="L135" i="11"/>
  <c r="E135" i="11"/>
  <c r="AP131" i="9"/>
  <c r="AS131" i="11" s="1"/>
  <c r="X131" i="9"/>
  <c r="Z131" i="11" s="1"/>
  <c r="S131" i="11"/>
  <c r="L131" i="11"/>
  <c r="E131" i="11"/>
  <c r="AZ130" i="11"/>
  <c r="AP130" i="9"/>
  <c r="AS130" i="11" s="1"/>
  <c r="X130" i="9"/>
  <c r="Z130" i="11" s="1"/>
  <c r="S130" i="11"/>
  <c r="L130" i="11"/>
  <c r="AN125" i="9"/>
  <c r="AM125" i="9"/>
  <c r="AL125" i="9"/>
  <c r="AP124" i="9"/>
  <c r="AS124" i="11" s="1"/>
  <c r="T124" i="9"/>
  <c r="S124" i="11"/>
  <c r="L124" i="11"/>
  <c r="E124" i="11"/>
  <c r="AP123" i="9"/>
  <c r="AS123" i="11" s="1"/>
  <c r="W123" i="9"/>
  <c r="V123" i="9"/>
  <c r="S123" i="11"/>
  <c r="E123" i="11"/>
  <c r="AP122" i="9"/>
  <c r="AS122" i="11" s="1"/>
  <c r="X122" i="9"/>
  <c r="Z122" i="11" s="1"/>
  <c r="U125" i="9"/>
  <c r="L122" i="11"/>
  <c r="E122" i="11"/>
  <c r="AP121" i="9"/>
  <c r="AS121" i="11" s="1"/>
  <c r="AP120" i="9"/>
  <c r="AS120" i="11" s="1"/>
  <c r="X120" i="9"/>
  <c r="Z120" i="11" s="1"/>
  <c r="S120" i="11"/>
  <c r="L120" i="11"/>
  <c r="E120" i="11"/>
  <c r="AP119" i="9"/>
  <c r="X119" i="9"/>
  <c r="Z119" i="11" s="1"/>
  <c r="S119" i="11"/>
  <c r="L119" i="11"/>
  <c r="AP115" i="9"/>
  <c r="AS115" i="11" s="1"/>
  <c r="X115" i="9"/>
  <c r="Z115" i="11" s="1"/>
  <c r="S115" i="11"/>
  <c r="L115" i="11"/>
  <c r="AP114" i="9"/>
  <c r="AS114" i="11" s="1"/>
  <c r="X114" i="9"/>
  <c r="Z114" i="11" s="1"/>
  <c r="S114" i="11"/>
  <c r="L114" i="11"/>
  <c r="E114" i="11"/>
  <c r="AN112" i="9"/>
  <c r="AM112" i="9"/>
  <c r="AL112" i="9"/>
  <c r="AP112" i="9" s="1"/>
  <c r="AS112" i="11" s="1"/>
  <c r="W112" i="9"/>
  <c r="V112" i="9"/>
  <c r="U112" i="9"/>
  <c r="T112" i="9"/>
  <c r="AN109" i="9"/>
  <c r="W109" i="9"/>
  <c r="W110" i="9" s="1"/>
  <c r="V109" i="9"/>
  <c r="V110" i="9" s="1"/>
  <c r="U109" i="9"/>
  <c r="U110" i="9" s="1"/>
  <c r="AP108" i="9"/>
  <c r="AS108" i="11" s="1"/>
  <c r="X108" i="9"/>
  <c r="Z108" i="11" s="1"/>
  <c r="S108" i="11"/>
  <c r="L108" i="11"/>
  <c r="AP107" i="9"/>
  <c r="AS107" i="11" s="1"/>
  <c r="X107" i="9"/>
  <c r="Z107" i="11" s="1"/>
  <c r="S107" i="11"/>
  <c r="L107" i="11"/>
  <c r="E107" i="11"/>
  <c r="AP106" i="9"/>
  <c r="AS106" i="11" s="1"/>
  <c r="X106" i="9"/>
  <c r="Z106" i="11" s="1"/>
  <c r="S106" i="11"/>
  <c r="L106" i="11"/>
  <c r="AP105" i="9"/>
  <c r="AS105" i="11" s="1"/>
  <c r="X105" i="9"/>
  <c r="Z105" i="11" s="1"/>
  <c r="S105" i="11"/>
  <c r="L105" i="11"/>
  <c r="E105" i="11"/>
  <c r="AP104" i="9"/>
  <c r="AS104" i="11" s="1"/>
  <c r="X104" i="9"/>
  <c r="Z104" i="11" s="1"/>
  <c r="S104" i="11"/>
  <c r="L104" i="11"/>
  <c r="AP103" i="9"/>
  <c r="AS103" i="11" s="1"/>
  <c r="X103" i="9"/>
  <c r="Z103" i="11" s="1"/>
  <c r="S103" i="11"/>
  <c r="L103" i="11"/>
  <c r="AP102" i="9"/>
  <c r="AS102" i="11" s="1"/>
  <c r="X102" i="9"/>
  <c r="Z102" i="11" s="1"/>
  <c r="S102" i="11"/>
  <c r="L102" i="11"/>
  <c r="AP101" i="9"/>
  <c r="AS101" i="11" s="1"/>
  <c r="X101" i="9"/>
  <c r="Z101" i="11" s="1"/>
  <c r="S101" i="11"/>
  <c r="L101" i="11"/>
  <c r="E101" i="11"/>
  <c r="AP100" i="9"/>
  <c r="AS100" i="11" s="1"/>
  <c r="X100" i="9"/>
  <c r="Z100" i="11" s="1"/>
  <c r="S100" i="11"/>
  <c r="L100" i="11"/>
  <c r="AP99" i="9"/>
  <c r="AS99" i="11" s="1"/>
  <c r="X99" i="9"/>
  <c r="Z99" i="11" s="1"/>
  <c r="S99" i="11"/>
  <c r="L99" i="11"/>
  <c r="AP98" i="9"/>
  <c r="AS98" i="11" s="1"/>
  <c r="S98" i="11"/>
  <c r="L98" i="11"/>
  <c r="AP97" i="9"/>
  <c r="AS97" i="11" s="1"/>
  <c r="X97" i="9"/>
  <c r="Z97" i="11" s="1"/>
  <c r="S97" i="11"/>
  <c r="L97" i="11"/>
  <c r="E97" i="11"/>
  <c r="X96" i="9"/>
  <c r="Z96" i="11" s="1"/>
  <c r="S96" i="11"/>
  <c r="L96" i="11"/>
  <c r="E96" i="11"/>
  <c r="AP95" i="9"/>
  <c r="AS95" i="11" s="1"/>
  <c r="X95" i="9"/>
  <c r="Z95" i="11" s="1"/>
  <c r="S95" i="11"/>
  <c r="L95" i="11"/>
  <c r="E95" i="11"/>
  <c r="X94" i="9"/>
  <c r="Z94" i="11" s="1"/>
  <c r="S94" i="11"/>
  <c r="L94" i="11"/>
  <c r="E94" i="11"/>
  <c r="AP93" i="9"/>
  <c r="AS93" i="11" s="1"/>
  <c r="S93" i="11"/>
  <c r="L93" i="11"/>
  <c r="AP88" i="9"/>
  <c r="AS88" i="11" s="1"/>
  <c r="AN88" i="9"/>
  <c r="AM88" i="9"/>
  <c r="AL88" i="9"/>
  <c r="X88" i="9"/>
  <c r="Z88" i="11" s="1"/>
  <c r="W88" i="9"/>
  <c r="V88" i="9"/>
  <c r="U88" i="9"/>
  <c r="T88" i="9"/>
  <c r="L88" i="11"/>
  <c r="E88" i="11"/>
  <c r="S87" i="11"/>
  <c r="S86" i="11"/>
  <c r="S85" i="11"/>
  <c r="AN82" i="9"/>
  <c r="AM82" i="9"/>
  <c r="AL82" i="9"/>
  <c r="W82" i="9"/>
  <c r="AP81" i="9"/>
  <c r="AS81" i="11" s="1"/>
  <c r="X81" i="9"/>
  <c r="Z81" i="11" s="1"/>
  <c r="S81" i="11"/>
  <c r="L81" i="11"/>
  <c r="AP80" i="9"/>
  <c r="AS80" i="11" s="1"/>
  <c r="X80" i="9"/>
  <c r="Z80" i="11" s="1"/>
  <c r="V82" i="9"/>
  <c r="S80" i="11"/>
  <c r="L80" i="11"/>
  <c r="E80" i="11"/>
  <c r="AP79" i="9"/>
  <c r="AS79" i="11" s="1"/>
  <c r="X79" i="9"/>
  <c r="Z79" i="11" s="1"/>
  <c r="S79" i="11"/>
  <c r="L79" i="11"/>
  <c r="AP78" i="9"/>
  <c r="AS78" i="11" s="1"/>
  <c r="X78" i="9"/>
  <c r="Z78" i="11" s="1"/>
  <c r="S78" i="11"/>
  <c r="L78" i="11"/>
  <c r="AZ77" i="11"/>
  <c r="AP77" i="9"/>
  <c r="AS77" i="11" s="1"/>
  <c r="X77" i="9"/>
  <c r="Z77" i="11" s="1"/>
  <c r="S77" i="11"/>
  <c r="L77" i="11"/>
  <c r="AP76" i="9"/>
  <c r="AS76" i="11" s="1"/>
  <c r="X76" i="9"/>
  <c r="Z76" i="11" s="1"/>
  <c r="S76" i="11"/>
  <c r="L76" i="11"/>
  <c r="E76" i="11"/>
  <c r="AP75" i="9"/>
  <c r="AS75" i="11" s="1"/>
  <c r="X75" i="9"/>
  <c r="Z75" i="11" s="1"/>
  <c r="S75" i="11"/>
  <c r="L75" i="11"/>
  <c r="E75" i="11"/>
  <c r="AP74" i="9"/>
  <c r="AS74" i="11" s="1"/>
  <c r="X74" i="9"/>
  <c r="Z74" i="11" s="1"/>
  <c r="S74" i="11"/>
  <c r="L74" i="11"/>
  <c r="AP73" i="9"/>
  <c r="AS73" i="11" s="1"/>
  <c r="X73" i="9"/>
  <c r="Z73" i="11" s="1"/>
  <c r="S73" i="11"/>
  <c r="L73" i="11"/>
  <c r="E73" i="11"/>
  <c r="AP72" i="9"/>
  <c r="AS72" i="11" s="1"/>
  <c r="T72" i="9"/>
  <c r="S72" i="11"/>
  <c r="L72" i="11"/>
  <c r="E72" i="11"/>
  <c r="AP71" i="9"/>
  <c r="E71" i="11"/>
  <c r="AP70" i="9"/>
  <c r="AS70" i="11" s="1"/>
  <c r="E70" i="11"/>
  <c r="AP69" i="9"/>
  <c r="AS69" i="11" s="1"/>
  <c r="E69" i="11"/>
  <c r="AP68" i="9"/>
  <c r="AS68" i="11" s="1"/>
  <c r="AP67" i="9"/>
  <c r="AS67" i="11" s="1"/>
  <c r="X67" i="9"/>
  <c r="Z67" i="11" s="1"/>
  <c r="W67" i="9"/>
  <c r="W84" i="9" s="1"/>
  <c r="W91" i="9" s="1"/>
  <c r="W118" i="9" s="1"/>
  <c r="W134" i="9" s="1"/>
  <c r="AN61" i="9"/>
  <c r="AN64" i="9" s="1"/>
  <c r="AN113" i="9" s="1"/>
  <c r="AM61" i="9"/>
  <c r="AM64" i="9" s="1"/>
  <c r="AM113" i="9" s="1"/>
  <c r="AL61" i="9"/>
  <c r="AL64" i="9" s="1"/>
  <c r="W61" i="9"/>
  <c r="W64" i="9" s="1"/>
  <c r="V61" i="9"/>
  <c r="V64" i="9" s="1"/>
  <c r="U61" i="9"/>
  <c r="U64" i="9" s="1"/>
  <c r="U113" i="9" s="1"/>
  <c r="T61" i="9"/>
  <c r="T64" i="9" s="1"/>
  <c r="AP60" i="9"/>
  <c r="AS60" i="11" s="1"/>
  <c r="X60" i="9"/>
  <c r="Z60" i="11" s="1"/>
  <c r="S60" i="11"/>
  <c r="L60" i="11"/>
  <c r="E60" i="11"/>
  <c r="AP59" i="9"/>
  <c r="AS59" i="11" s="1"/>
  <c r="X59" i="9"/>
  <c r="Z59" i="11" s="1"/>
  <c r="S59" i="11"/>
  <c r="L59" i="11"/>
  <c r="E59" i="11"/>
  <c r="AP58" i="9"/>
  <c r="AS58" i="11" s="1"/>
  <c r="X58" i="9"/>
  <c r="Z58" i="11" s="1"/>
  <c r="S58" i="11"/>
  <c r="L58" i="11"/>
  <c r="E58" i="11"/>
  <c r="AZ57" i="11"/>
  <c r="AP57" i="9"/>
  <c r="AS57" i="11" s="1"/>
  <c r="X57" i="9"/>
  <c r="Z57" i="11" s="1"/>
  <c r="S57" i="11"/>
  <c r="L57" i="11"/>
  <c r="E57" i="11"/>
  <c r="AP56" i="9"/>
  <c r="AS56" i="11" s="1"/>
  <c r="X56" i="9"/>
  <c r="Z56" i="11" s="1"/>
  <c r="S56" i="11"/>
  <c r="L56" i="11"/>
  <c r="AP55" i="9"/>
  <c r="AS55" i="11" s="1"/>
  <c r="X55" i="9"/>
  <c r="Z55" i="11" s="1"/>
  <c r="S55" i="11"/>
  <c r="L55" i="11"/>
  <c r="AP54" i="9"/>
  <c r="AS54" i="11" s="1"/>
  <c r="X54" i="9"/>
  <c r="Z54" i="11" s="1"/>
  <c r="S54" i="11"/>
  <c r="L54" i="11"/>
  <c r="AP53" i="9"/>
  <c r="AS53" i="11" s="1"/>
  <c r="X53" i="9"/>
  <c r="Z53" i="11" s="1"/>
  <c r="S53" i="11"/>
  <c r="L53" i="11"/>
  <c r="E53" i="11"/>
  <c r="AP52" i="9"/>
  <c r="AS52" i="11" s="1"/>
  <c r="X52" i="9"/>
  <c r="Z52" i="11" s="1"/>
  <c r="S52" i="11"/>
  <c r="L52" i="11"/>
  <c r="E52" i="11"/>
  <c r="AP51" i="9"/>
  <c r="AS51" i="11" s="1"/>
  <c r="X51" i="9"/>
  <c r="Z51" i="11" s="1"/>
  <c r="S51" i="11"/>
  <c r="L51" i="11"/>
  <c r="E51" i="11"/>
  <c r="AP50" i="9"/>
  <c r="AS50" i="11" s="1"/>
  <c r="X50" i="9"/>
  <c r="Z50" i="11" s="1"/>
  <c r="S50" i="11"/>
  <c r="L50" i="11"/>
  <c r="E50" i="11"/>
  <c r="AP49" i="9"/>
  <c r="AS49" i="11" s="1"/>
  <c r="X49" i="9"/>
  <c r="Z49" i="11" s="1"/>
  <c r="S49" i="11"/>
  <c r="L49" i="11"/>
  <c r="E49" i="11"/>
  <c r="AP48" i="9"/>
  <c r="AS48" i="11" s="1"/>
  <c r="X48" i="9"/>
  <c r="Z48" i="11" s="1"/>
  <c r="S48" i="11"/>
  <c r="L48" i="11"/>
  <c r="E48" i="11"/>
  <c r="AP47" i="9"/>
  <c r="AS47" i="11" s="1"/>
  <c r="X47" i="9"/>
  <c r="Z47" i="11" s="1"/>
  <c r="S47" i="11"/>
  <c r="L47" i="11"/>
  <c r="E47" i="11"/>
  <c r="AP46" i="9"/>
  <c r="AS46" i="11" s="1"/>
  <c r="X46" i="9"/>
  <c r="Z46" i="11" s="1"/>
  <c r="S46" i="11"/>
  <c r="L46" i="11"/>
  <c r="E46" i="11"/>
  <c r="AZ45" i="11"/>
  <c r="AP45" i="9"/>
  <c r="AS45" i="11" s="1"/>
  <c r="X45" i="9"/>
  <c r="Z45" i="11" s="1"/>
  <c r="S45" i="11"/>
  <c r="L45" i="11"/>
  <c r="E45" i="11"/>
  <c r="AP44" i="9"/>
  <c r="AS44" i="11" s="1"/>
  <c r="X44" i="9"/>
  <c r="Z44" i="11" s="1"/>
  <c r="L44" i="11"/>
  <c r="AP43" i="9"/>
  <c r="AS43" i="11" s="1"/>
  <c r="X43" i="9"/>
  <c r="Z43" i="11" s="1"/>
  <c r="S43" i="11"/>
  <c r="L43" i="11"/>
  <c r="AP42" i="9"/>
  <c r="AS42" i="11" s="1"/>
  <c r="X42" i="9"/>
  <c r="Z42" i="11" s="1"/>
  <c r="S42" i="11"/>
  <c r="L42" i="11"/>
  <c r="AP41" i="9"/>
  <c r="AS41" i="11" s="1"/>
  <c r="X41" i="9"/>
  <c r="Z41" i="11" s="1"/>
  <c r="S41" i="11"/>
  <c r="L41" i="11"/>
  <c r="E41" i="11"/>
  <c r="AP40" i="9"/>
  <c r="AS40" i="11" s="1"/>
  <c r="X40" i="9"/>
  <c r="Z40" i="11" s="1"/>
  <c r="S40" i="11"/>
  <c r="L40" i="11"/>
  <c r="E40" i="11"/>
  <c r="AP39" i="9"/>
  <c r="AS39" i="11" s="1"/>
  <c r="X39" i="9"/>
  <c r="Z39" i="11" s="1"/>
  <c r="S39" i="11"/>
  <c r="L39" i="11"/>
  <c r="E39" i="11"/>
  <c r="AZ38" i="11"/>
  <c r="AP38" i="9"/>
  <c r="AS38" i="11" s="1"/>
  <c r="X38" i="9"/>
  <c r="Z38" i="11" s="1"/>
  <c r="W38" i="9"/>
  <c r="S38" i="11"/>
  <c r="L38" i="11"/>
  <c r="E38" i="11"/>
  <c r="AN36" i="9"/>
  <c r="AN128" i="9" s="1"/>
  <c r="AM36" i="9"/>
  <c r="AM128" i="9" s="1"/>
  <c r="AL36" i="9"/>
  <c r="AL63" i="9" s="1"/>
  <c r="AL129" i="9" s="1"/>
  <c r="W36" i="9"/>
  <c r="W154" i="9" s="1"/>
  <c r="V36" i="9"/>
  <c r="V154" i="9" s="1"/>
  <c r="U36" i="9"/>
  <c r="T36" i="9"/>
  <c r="AP35" i="9"/>
  <c r="AS35" i="11" s="1"/>
  <c r="X35" i="9"/>
  <c r="Z35" i="11" s="1"/>
  <c r="S35" i="11"/>
  <c r="L35" i="11"/>
  <c r="E35" i="11"/>
  <c r="AP34" i="9"/>
  <c r="AS34" i="11" s="1"/>
  <c r="X34" i="9"/>
  <c r="Z34" i="11" s="1"/>
  <c r="S34" i="11"/>
  <c r="L34" i="11"/>
  <c r="E34" i="11"/>
  <c r="AP33" i="9"/>
  <c r="AS33" i="11" s="1"/>
  <c r="X33" i="9"/>
  <c r="Z33" i="11" s="1"/>
  <c r="S33" i="11"/>
  <c r="L33" i="11"/>
  <c r="E33" i="11"/>
  <c r="AP32" i="9"/>
  <c r="AS32" i="11" s="1"/>
  <c r="X32" i="9"/>
  <c r="Z32" i="11" s="1"/>
  <c r="S32" i="11"/>
  <c r="L32" i="11"/>
  <c r="AP31" i="9"/>
  <c r="AS31" i="11" s="1"/>
  <c r="X31" i="9"/>
  <c r="Z31" i="11" s="1"/>
  <c r="S31" i="11"/>
  <c r="L31" i="11"/>
  <c r="AP30" i="9"/>
  <c r="AS30" i="11" s="1"/>
  <c r="X30" i="9"/>
  <c r="Z30" i="11" s="1"/>
  <c r="S30" i="11"/>
  <c r="L30" i="11"/>
  <c r="AP29" i="9"/>
  <c r="X29" i="9"/>
  <c r="Z29" i="11" s="1"/>
  <c r="S29" i="11"/>
  <c r="L29" i="11"/>
  <c r="AP28" i="9"/>
  <c r="AS28" i="11" s="1"/>
  <c r="X28" i="9"/>
  <c r="Z28" i="11" s="1"/>
  <c r="S28" i="11"/>
  <c r="L28" i="11"/>
  <c r="E28" i="11"/>
  <c r="AP27" i="9"/>
  <c r="AS27" i="11" s="1"/>
  <c r="X27" i="9"/>
  <c r="L27" i="11"/>
  <c r="E27" i="11"/>
  <c r="AZ26" i="11"/>
  <c r="AP26" i="9"/>
  <c r="AS26" i="11" s="1"/>
  <c r="X26" i="9"/>
  <c r="Z26" i="11" s="1"/>
  <c r="W26" i="9"/>
  <c r="S26" i="11"/>
  <c r="L26" i="11"/>
  <c r="E26" i="11"/>
  <c r="AZ25" i="11"/>
  <c r="AP25" i="9"/>
  <c r="AS25" i="11" s="1"/>
  <c r="X25" i="9"/>
  <c r="Z25" i="11" s="1"/>
  <c r="S25" i="11"/>
  <c r="L25" i="11"/>
  <c r="AP24" i="9"/>
  <c r="AS24" i="11" s="1"/>
  <c r="X24" i="9"/>
  <c r="Z24" i="11" s="1"/>
  <c r="S24" i="11"/>
  <c r="L24" i="11"/>
  <c r="E24" i="11"/>
  <c r="AP23" i="9"/>
  <c r="AS23" i="11" s="1"/>
  <c r="X23" i="9"/>
  <c r="Z23" i="11" s="1"/>
  <c r="S23" i="11"/>
  <c r="L23" i="11"/>
  <c r="E23" i="11"/>
  <c r="AP22" i="9"/>
  <c r="AS22" i="11" s="1"/>
  <c r="X22" i="9"/>
  <c r="Z22" i="11" s="1"/>
  <c r="S22" i="11"/>
  <c r="L22" i="11"/>
  <c r="E22" i="11"/>
  <c r="AP21" i="9"/>
  <c r="AS21" i="11" s="1"/>
  <c r="X21" i="9"/>
  <c r="Z21" i="11" s="1"/>
  <c r="S21" i="11"/>
  <c r="L21" i="11"/>
  <c r="E21" i="11"/>
  <c r="AL17" i="9"/>
  <c r="U17" i="9"/>
  <c r="T6" i="9"/>
  <c r="T5" i="9"/>
  <c r="T4" i="9"/>
  <c r="AL3" i="9"/>
  <c r="X124" i="9" l="1"/>
  <c r="Z124" i="11" s="1"/>
  <c r="AZ124" i="11"/>
  <c r="V159" i="9"/>
  <c r="V125" i="9"/>
  <c r="V126" i="9" s="1"/>
  <c r="X72" i="9"/>
  <c r="Z72" i="11" s="1"/>
  <c r="T3" i="9"/>
  <c r="Z3" i="11" s="1"/>
  <c r="Z6" i="11"/>
  <c r="AZ6" i="11"/>
  <c r="W159" i="9"/>
  <c r="W125" i="9"/>
  <c r="W126" i="9" s="1"/>
  <c r="AN63" i="9"/>
  <c r="AN129" i="9" s="1"/>
  <c r="Z4" i="11"/>
  <c r="Z5" i="11"/>
  <c r="AZ5" i="11"/>
  <c r="L2" i="11"/>
  <c r="W113" i="9"/>
  <c r="AZ35" i="11"/>
  <c r="V113" i="9"/>
  <c r="AP84" i="9"/>
  <c r="AZ206" i="11"/>
  <c r="L128" i="11"/>
  <c r="E67" i="11"/>
  <c r="AZ97" i="11"/>
  <c r="E216" i="11"/>
  <c r="G27" i="2"/>
  <c r="AN111" i="9"/>
  <c r="AN110" i="9"/>
  <c r="AZ67" i="11"/>
  <c r="AZ187" i="11"/>
  <c r="L164" i="11"/>
  <c r="L168" i="11"/>
  <c r="AZ33" i="11"/>
  <c r="AZ41" i="11"/>
  <c r="AZ53" i="11"/>
  <c r="AZ87" i="11"/>
  <c r="T17" i="9"/>
  <c r="X123" i="9"/>
  <c r="Z123" i="11" s="1"/>
  <c r="AL128" i="9"/>
  <c r="E152" i="11"/>
  <c r="AZ155" i="11"/>
  <c r="E84" i="11"/>
  <c r="AZ131" i="11"/>
  <c r="AM127" i="9"/>
  <c r="AP127" i="9" s="1"/>
  <c r="AS127" i="11" s="1"/>
  <c r="AM126" i="9"/>
  <c r="L121" i="11"/>
  <c r="AM141" i="9"/>
  <c r="AZ24" i="11"/>
  <c r="L67" i="11"/>
  <c r="AZ179" i="11"/>
  <c r="U128" i="9"/>
  <c r="U154" i="9"/>
  <c r="AZ47" i="11"/>
  <c r="AZ59" i="11"/>
  <c r="AZ103" i="11"/>
  <c r="AZ58" i="11"/>
  <c r="X84" i="9"/>
  <c r="AZ21" i="11"/>
  <c r="AZ115" i="11"/>
  <c r="L123" i="11"/>
  <c r="AN127" i="9"/>
  <c r="AN126" i="9"/>
  <c r="AZ29" i="11"/>
  <c r="S121" i="11"/>
  <c r="AZ85" i="11"/>
  <c r="AZ40" i="11"/>
  <c r="AM63" i="9"/>
  <c r="AM65" i="9" s="1"/>
  <c r="S67" i="11"/>
  <c r="E212" i="11"/>
  <c r="AZ147" i="11"/>
  <c r="L139" i="11"/>
  <c r="AZ188" i="11"/>
  <c r="T154" i="9"/>
  <c r="T121" i="9"/>
  <c r="X36" i="9"/>
  <c r="Z27" i="11"/>
  <c r="T146" i="9"/>
  <c r="T145" i="9"/>
  <c r="AL126" i="9"/>
  <c r="AL127" i="9"/>
  <c r="AZ72" i="11"/>
  <c r="AZ60" i="11"/>
  <c r="AZ48" i="11"/>
  <c r="AZ56" i="11"/>
  <c r="AP216" i="9"/>
  <c r="AS216" i="11" s="1"/>
  <c r="AZ114" i="11"/>
  <c r="AZ27" i="11"/>
  <c r="AP82" i="9"/>
  <c r="AS82" i="11" s="1"/>
  <c r="AS71" i="11"/>
  <c r="AZ136" i="11"/>
  <c r="AZ43" i="11"/>
  <c r="AZ51" i="11"/>
  <c r="AZ189" i="11"/>
  <c r="AP207" i="9"/>
  <c r="AS207" i="11" s="1"/>
  <c r="AS197" i="11"/>
  <c r="AP36" i="9"/>
  <c r="AS36" i="11" s="1"/>
  <c r="AS29" i="11"/>
  <c r="AZ31" i="11"/>
  <c r="AZ39" i="11"/>
  <c r="AZ107" i="11"/>
  <c r="AZ22" i="11"/>
  <c r="AP125" i="9"/>
  <c r="AS125" i="11" s="1"/>
  <c r="AS119" i="11"/>
  <c r="AZ34" i="11"/>
  <c r="AZ169" i="11"/>
  <c r="AZ200" i="11"/>
  <c r="AZ55" i="11"/>
  <c r="AZ79" i="11"/>
  <c r="AZ186" i="11"/>
  <c r="S64" i="11"/>
  <c r="S44" i="11"/>
  <c r="S88" i="11"/>
  <c r="S27" i="11"/>
  <c r="AZ42" i="11"/>
  <c r="AZ204" i="11"/>
  <c r="AZ32" i="11"/>
  <c r="AZ50" i="11"/>
  <c r="AZ175" i="11"/>
  <c r="AZ198" i="11"/>
  <c r="AZ201" i="11"/>
  <c r="AZ28" i="11"/>
  <c r="AZ23" i="11"/>
  <c r="AZ78" i="11"/>
  <c r="AZ76" i="11"/>
  <c r="S113" i="11"/>
  <c r="AZ75" i="11"/>
  <c r="U82" i="9"/>
  <c r="U126" i="9"/>
  <c r="AZ74" i="11"/>
  <c r="AL113" i="9"/>
  <c r="AP113" i="9" s="1"/>
  <c r="AS113" i="11" s="1"/>
  <c r="AL65" i="9"/>
  <c r="W143" i="9"/>
  <c r="W151" i="9"/>
  <c r="W161" i="9" s="1"/>
  <c r="W173" i="9" s="1"/>
  <c r="W196" i="9" s="1"/>
  <c r="E143" i="11"/>
  <c r="U116" i="9"/>
  <c r="AZ123" i="11"/>
  <c r="AZ165" i="11"/>
  <c r="E165" i="11"/>
  <c r="S197" i="11"/>
  <c r="T109" i="9"/>
  <c r="T110" i="9" s="1"/>
  <c r="AM109" i="9"/>
  <c r="AZ101" i="11"/>
  <c r="AZ73" i="11"/>
  <c r="X93" i="9"/>
  <c r="Z93" i="11" s="1"/>
  <c r="AP94" i="9"/>
  <c r="AS94" i="11" s="1"/>
  <c r="AZ100" i="11"/>
  <c r="AN116" i="9"/>
  <c r="S112" i="11"/>
  <c r="AZ135" i="11"/>
  <c r="L167" i="11"/>
  <c r="AZ167" i="11"/>
  <c r="S109" i="11"/>
  <c r="L148" i="11"/>
  <c r="L146" i="11"/>
  <c r="L145" i="11"/>
  <c r="AP128" i="9"/>
  <c r="AS128" i="11" s="1"/>
  <c r="AZ152" i="11"/>
  <c r="AZ184" i="11"/>
  <c r="AZ52" i="11"/>
  <c r="AZ98" i="11"/>
  <c r="X98" i="9"/>
  <c r="Z98" i="11" s="1"/>
  <c r="AZ202" i="11"/>
  <c r="W63" i="9"/>
  <c r="AZ81" i="11"/>
  <c r="AZ104" i="11"/>
  <c r="AZ105" i="11"/>
  <c r="AZ119" i="11"/>
  <c r="AP61" i="9"/>
  <c r="S2" i="11"/>
  <c r="T113" i="9"/>
  <c r="AL139" i="9"/>
  <c r="AP139" i="9" s="1"/>
  <c r="AS139" i="11" s="1"/>
  <c r="AL138" i="9"/>
  <c r="AL146" i="9"/>
  <c r="AP146" i="9" s="1"/>
  <c r="AS146" i="11" s="1"/>
  <c r="T63" i="9"/>
  <c r="X121" i="9"/>
  <c r="Z121" i="11" s="1"/>
  <c r="T128" i="9"/>
  <c r="T125" i="9"/>
  <c r="T126" i="9" s="1"/>
  <c r="L140" i="11"/>
  <c r="S201" i="11"/>
  <c r="AZ176" i="11"/>
  <c r="E176" i="11"/>
  <c r="L125" i="11"/>
  <c r="X180" i="9"/>
  <c r="Z180" i="11" s="1"/>
  <c r="U63" i="9"/>
  <c r="AZ46" i="11"/>
  <c r="AL109" i="9"/>
  <c r="AP96" i="9"/>
  <c r="AS96" i="11" s="1"/>
  <c r="AL145" i="9"/>
  <c r="T207" i="9"/>
  <c r="X201" i="9"/>
  <c r="S122" i="11"/>
  <c r="AZ106" i="11"/>
  <c r="E112" i="11"/>
  <c r="S140" i="11"/>
  <c r="AL171" i="9"/>
  <c r="AP165" i="9"/>
  <c r="S206" i="11"/>
  <c r="X61" i="9"/>
  <c r="X212" i="9"/>
  <c r="X112" i="9"/>
  <c r="Z112" i="11" s="1"/>
  <c r="AZ137" i="11"/>
  <c r="E162" i="11"/>
  <c r="AZ174" i="11"/>
  <c r="AZ180" i="11"/>
  <c r="AZ49" i="11"/>
  <c r="AZ54" i="11"/>
  <c r="AZ99" i="11"/>
  <c r="AZ108" i="11"/>
  <c r="L112" i="11"/>
  <c r="AZ122" i="11"/>
  <c r="S180" i="11"/>
  <c r="AZ166" i="11"/>
  <c r="AZ215" i="11"/>
  <c r="AZ95" i="11"/>
  <c r="AZ96" i="11"/>
  <c r="L185" i="11"/>
  <c r="AZ185" i="11"/>
  <c r="AZ192" i="11"/>
  <c r="AZ213" i="11"/>
  <c r="V63" i="9"/>
  <c r="L109" i="11"/>
  <c r="AZ120" i="11"/>
  <c r="AZ140" i="11"/>
  <c r="AP159" i="9"/>
  <c r="AS159" i="11" s="1"/>
  <c r="L162" i="11"/>
  <c r="AP194" i="9"/>
  <c r="AS194" i="11" s="1"/>
  <c r="E174" i="11"/>
  <c r="AZ177" i="11"/>
  <c r="AZ181" i="11"/>
  <c r="AZ182" i="11"/>
  <c r="AZ158" i="11"/>
  <c r="E177" i="11"/>
  <c r="AZ183" i="11"/>
  <c r="AZ190" i="11"/>
  <c r="AZ205" i="11"/>
  <c r="AY26" i="11"/>
  <c r="AY37" i="11"/>
  <c r="AY62" i="11"/>
  <c r="AY66" i="11"/>
  <c r="AY117" i="11"/>
  <c r="AY133" i="11"/>
  <c r="AY142" i="11"/>
  <c r="AY150" i="11"/>
  <c r="AY160" i="11"/>
  <c r="AY172" i="11"/>
  <c r="AY195" i="11"/>
  <c r="AY208" i="11"/>
  <c r="AY210" i="11"/>
  <c r="AY211" i="11"/>
  <c r="AY217" i="11"/>
  <c r="AY219" i="11"/>
  <c r="AR23" i="11"/>
  <c r="AR26" i="11"/>
  <c r="AR31" i="11"/>
  <c r="AR37" i="11"/>
  <c r="AR38" i="11"/>
  <c r="AR54" i="11"/>
  <c r="AR56" i="11"/>
  <c r="AR62" i="11"/>
  <c r="AR66" i="11"/>
  <c r="AR85" i="11"/>
  <c r="AR86" i="11"/>
  <c r="AR87" i="11"/>
  <c r="AR117" i="11"/>
  <c r="AR122" i="11"/>
  <c r="AR133" i="11"/>
  <c r="AR142" i="11"/>
  <c r="AR150" i="11"/>
  <c r="AR160" i="11"/>
  <c r="AR172" i="11"/>
  <c r="AR188" i="11"/>
  <c r="AR195" i="11"/>
  <c r="AR197" i="11"/>
  <c r="AR208" i="11"/>
  <c r="AR210" i="11"/>
  <c r="AR211" i="11"/>
  <c r="AR217" i="11"/>
  <c r="D30" i="11"/>
  <c r="D32" i="11"/>
  <c r="D37" i="11"/>
  <c r="D41" i="11"/>
  <c r="D44" i="11"/>
  <c r="D45" i="11"/>
  <c r="D60" i="11"/>
  <c r="D62" i="11"/>
  <c r="D66" i="11"/>
  <c r="D72" i="11"/>
  <c r="D79" i="11"/>
  <c r="D85" i="11"/>
  <c r="D86" i="11"/>
  <c r="D87" i="11"/>
  <c r="D100" i="11"/>
  <c r="D114" i="11"/>
  <c r="D117" i="11"/>
  <c r="D131" i="11"/>
  <c r="D133" i="11"/>
  <c r="D142" i="11"/>
  <c r="D150" i="11"/>
  <c r="D160" i="11"/>
  <c r="D172" i="11"/>
  <c r="D189" i="11"/>
  <c r="D192" i="11"/>
  <c r="D195" i="11"/>
  <c r="D208" i="11"/>
  <c r="D210" i="11"/>
  <c r="D211" i="11"/>
  <c r="D213" i="11"/>
  <c r="D214" i="11"/>
  <c r="D217" i="11"/>
  <c r="D219" i="11"/>
  <c r="D220" i="11"/>
  <c r="K30" i="11"/>
  <c r="K37" i="11"/>
  <c r="K41" i="11"/>
  <c r="K43" i="11"/>
  <c r="K45" i="11"/>
  <c r="K46" i="11"/>
  <c r="K49" i="11"/>
  <c r="K62" i="11"/>
  <c r="K66" i="11"/>
  <c r="K72" i="11"/>
  <c r="K75" i="11"/>
  <c r="K79" i="11"/>
  <c r="K85" i="11"/>
  <c r="K86" i="11"/>
  <c r="K87" i="11"/>
  <c r="K112" i="11"/>
  <c r="K117" i="11"/>
  <c r="K133" i="11"/>
  <c r="K135" i="11"/>
  <c r="K142" i="11"/>
  <c r="K150" i="11"/>
  <c r="K160" i="11"/>
  <c r="K172" i="11"/>
  <c r="K186" i="11"/>
  <c r="K192" i="11"/>
  <c r="K195" i="11"/>
  <c r="K208" i="11"/>
  <c r="K210" i="11"/>
  <c r="K211" i="11"/>
  <c r="K217" i="11"/>
  <c r="K219" i="11"/>
  <c r="R37" i="11"/>
  <c r="R38" i="11"/>
  <c r="R41" i="11"/>
  <c r="R62" i="11"/>
  <c r="R66" i="11"/>
  <c r="R67" i="11"/>
  <c r="R117" i="11"/>
  <c r="R133" i="11"/>
  <c r="R142" i="11"/>
  <c r="R150" i="11"/>
  <c r="R160" i="11"/>
  <c r="R172" i="11"/>
  <c r="R195" i="11"/>
  <c r="R208" i="11"/>
  <c r="R210" i="11"/>
  <c r="R211" i="11"/>
  <c r="R217" i="11"/>
  <c r="R219" i="11"/>
  <c r="Y25" i="11"/>
  <c r="Y26" i="11"/>
  <c r="Y27" i="11"/>
  <c r="Y37" i="11"/>
  <c r="Y39" i="11"/>
  <c r="Y45" i="11"/>
  <c r="Y55" i="11"/>
  <c r="Y57" i="11"/>
  <c r="Y59" i="11"/>
  <c r="Y62" i="11"/>
  <c r="Y66" i="11"/>
  <c r="Y77" i="11"/>
  <c r="Y85" i="11"/>
  <c r="Y86" i="11"/>
  <c r="Y87" i="11"/>
  <c r="Y91" i="11"/>
  <c r="Y93" i="11"/>
  <c r="Y94" i="11"/>
  <c r="Y96" i="11"/>
  <c r="Y114" i="11"/>
  <c r="Y117" i="11"/>
  <c r="Y118" i="11"/>
  <c r="Y122" i="11"/>
  <c r="Y133" i="11"/>
  <c r="Y136" i="11"/>
  <c r="Y142" i="11"/>
  <c r="Y150" i="11"/>
  <c r="Y160" i="11"/>
  <c r="Y172" i="11"/>
  <c r="Y182" i="11"/>
  <c r="Y195" i="11"/>
  <c r="Y208" i="11"/>
  <c r="Y210" i="11"/>
  <c r="Y211" i="11"/>
  <c r="Y215" i="11"/>
  <c r="Y217" i="11"/>
  <c r="Y219" i="11"/>
  <c r="AY20" i="11"/>
  <c r="AR20" i="11"/>
  <c r="Y20" i="11"/>
  <c r="R20" i="11"/>
  <c r="K20" i="11"/>
  <c r="D20" i="11"/>
  <c r="AL165" i="4"/>
  <c r="AP165" i="4" s="1"/>
  <c r="AR165" i="11" s="1"/>
  <c r="AL144" i="4"/>
  <c r="AP144" i="4" s="1"/>
  <c r="AR144" i="11" s="1"/>
  <c r="AM127" i="4"/>
  <c r="AN127" i="4"/>
  <c r="AM126" i="4"/>
  <c r="AL123" i="4"/>
  <c r="AM106" i="4"/>
  <c r="AP106" i="4" s="1"/>
  <c r="AR106" i="11" s="1"/>
  <c r="AN102" i="4"/>
  <c r="AL101" i="4"/>
  <c r="AL98" i="4"/>
  <c r="AP98" i="4" s="1"/>
  <c r="AR98" i="11" s="1"/>
  <c r="AL96" i="4"/>
  <c r="AP96" i="4" s="1"/>
  <c r="AR96" i="11" s="1"/>
  <c r="AM94" i="4"/>
  <c r="T206" i="4"/>
  <c r="X206" i="4" s="1"/>
  <c r="Y206" i="11" s="1"/>
  <c r="T205" i="4"/>
  <c r="T203" i="4"/>
  <c r="X203" i="4" s="1"/>
  <c r="Y203" i="11" s="1"/>
  <c r="T202" i="4"/>
  <c r="T201" i="4"/>
  <c r="X201" i="4" s="1"/>
  <c r="Y201" i="11" s="1"/>
  <c r="T199" i="4"/>
  <c r="X199" i="4" s="1"/>
  <c r="Y199" i="11" s="1"/>
  <c r="T197" i="4"/>
  <c r="X197" i="4" s="1"/>
  <c r="Y197" i="11" s="1"/>
  <c r="T185" i="4"/>
  <c r="T184" i="4"/>
  <c r="X184" i="4" s="1"/>
  <c r="Y184" i="11" s="1"/>
  <c r="T183" i="4"/>
  <c r="X183" i="4" s="1"/>
  <c r="Y183" i="11" s="1"/>
  <c r="T182" i="4"/>
  <c r="X182" i="4" s="1"/>
  <c r="V81" i="4"/>
  <c r="V80" i="4"/>
  <c r="X80" i="4" s="1"/>
  <c r="Y80" i="11" s="1"/>
  <c r="T179" i="4"/>
  <c r="T177" i="4"/>
  <c r="T176" i="4"/>
  <c r="X176" i="4" s="1"/>
  <c r="Y176" i="11" s="1"/>
  <c r="T175" i="4"/>
  <c r="X175" i="4" s="1"/>
  <c r="Y175" i="11" s="1"/>
  <c r="T174" i="4"/>
  <c r="X174" i="4" s="1"/>
  <c r="Y174" i="11" s="1"/>
  <c r="X167" i="4"/>
  <c r="Y167" i="11" s="1"/>
  <c r="T165" i="4"/>
  <c r="U140" i="4"/>
  <c r="W126" i="4"/>
  <c r="T99" i="4"/>
  <c r="T98" i="4"/>
  <c r="X98" i="4" s="1"/>
  <c r="Y98" i="11" s="1"/>
  <c r="T93" i="4"/>
  <c r="V101" i="4"/>
  <c r="T101" i="4"/>
  <c r="T109" i="4"/>
  <c r="T110" i="4" s="1"/>
  <c r="R206" i="11"/>
  <c r="R202" i="11"/>
  <c r="R201" i="11"/>
  <c r="R200" i="11"/>
  <c r="R197" i="11"/>
  <c r="R184" i="11"/>
  <c r="R183" i="11"/>
  <c r="R182" i="11"/>
  <c r="R175" i="11"/>
  <c r="R166" i="11"/>
  <c r="R165" i="11"/>
  <c r="R152" i="11"/>
  <c r="R140" i="11"/>
  <c r="R124" i="11"/>
  <c r="R120" i="11"/>
  <c r="R119" i="11"/>
  <c r="R108" i="11"/>
  <c r="R105" i="11"/>
  <c r="R101" i="11"/>
  <c r="R99" i="11"/>
  <c r="R98" i="11"/>
  <c r="R95" i="11"/>
  <c r="R94" i="11"/>
  <c r="R181" i="11"/>
  <c r="R180" i="11"/>
  <c r="R81" i="11"/>
  <c r="K205" i="11"/>
  <c r="K203" i="11"/>
  <c r="K202" i="11"/>
  <c r="K199" i="11"/>
  <c r="K185" i="11"/>
  <c r="K184" i="11"/>
  <c r="K183" i="11"/>
  <c r="K180" i="11"/>
  <c r="K177" i="11"/>
  <c r="K176" i="11"/>
  <c r="K167" i="11"/>
  <c r="K166" i="11"/>
  <c r="K162" i="11"/>
  <c r="K124" i="11"/>
  <c r="K119" i="11"/>
  <c r="K108" i="11"/>
  <c r="K99" i="11"/>
  <c r="K98" i="11"/>
  <c r="K96" i="11"/>
  <c r="K95" i="11"/>
  <c r="K94" i="11"/>
  <c r="K93" i="11"/>
  <c r="D176" i="11"/>
  <c r="K140" i="11"/>
  <c r="AY220" i="11"/>
  <c r="AP220" i="4"/>
  <c r="AR220" i="11" s="1"/>
  <c r="AN220" i="4"/>
  <c r="AM220" i="4"/>
  <c r="AL220" i="4"/>
  <c r="X220" i="4"/>
  <c r="Y220" i="11" s="1"/>
  <c r="W220" i="4"/>
  <c r="V220" i="4"/>
  <c r="U220" i="4"/>
  <c r="T220" i="4"/>
  <c r="R220" i="11"/>
  <c r="K220" i="11"/>
  <c r="A220" i="4"/>
  <c r="AN216" i="4"/>
  <c r="AM216" i="4"/>
  <c r="AL216" i="4"/>
  <c r="W216" i="4"/>
  <c r="V216" i="4"/>
  <c r="U216" i="4"/>
  <c r="T216" i="4"/>
  <c r="AP215" i="4"/>
  <c r="AR215" i="11" s="1"/>
  <c r="X215" i="4"/>
  <c r="R215" i="11"/>
  <c r="K215" i="11"/>
  <c r="D215" i="11"/>
  <c r="AP214" i="4"/>
  <c r="X214" i="4"/>
  <c r="Y214" i="11" s="1"/>
  <c r="R214" i="11"/>
  <c r="K214" i="11"/>
  <c r="AP213" i="4"/>
  <c r="AR213" i="11" s="1"/>
  <c r="X213" i="4"/>
  <c r="Y213" i="11" s="1"/>
  <c r="R213" i="11"/>
  <c r="K213" i="11"/>
  <c r="AP212" i="4"/>
  <c r="AR212" i="11" s="1"/>
  <c r="X212" i="4"/>
  <c r="Y212" i="11" s="1"/>
  <c r="R212" i="11"/>
  <c r="K212" i="11"/>
  <c r="D212" i="11"/>
  <c r="AN207" i="4"/>
  <c r="AM207" i="4"/>
  <c r="AL207" i="4"/>
  <c r="W207" i="4"/>
  <c r="V207" i="4"/>
  <c r="U207" i="4"/>
  <c r="AP206" i="4"/>
  <c r="AR206" i="11" s="1"/>
  <c r="K206" i="11"/>
  <c r="AP205" i="4"/>
  <c r="AR205" i="11" s="1"/>
  <c r="X205" i="4"/>
  <c r="Y205" i="11" s="1"/>
  <c r="AP204" i="4"/>
  <c r="AR204" i="11" s="1"/>
  <c r="X204" i="4"/>
  <c r="Y204" i="11" s="1"/>
  <c r="R204" i="11"/>
  <c r="K204" i="11"/>
  <c r="D204" i="11"/>
  <c r="AP203" i="4"/>
  <c r="AR203" i="11" s="1"/>
  <c r="R203" i="11"/>
  <c r="D203" i="11"/>
  <c r="AP202" i="4"/>
  <c r="AP201" i="4"/>
  <c r="AR201" i="11" s="1"/>
  <c r="D201" i="11"/>
  <c r="AP200" i="4"/>
  <c r="AR200" i="11" s="1"/>
  <c r="X200" i="4"/>
  <c r="Y200" i="11" s="1"/>
  <c r="K200" i="11"/>
  <c r="D200" i="11"/>
  <c r="AP199" i="4"/>
  <c r="AR199" i="11" s="1"/>
  <c r="R199" i="11"/>
  <c r="AP198" i="4"/>
  <c r="AR198" i="11" s="1"/>
  <c r="X198" i="4"/>
  <c r="Y198" i="11" s="1"/>
  <c r="K198" i="11"/>
  <c r="D198" i="11"/>
  <c r="AP197" i="4"/>
  <c r="AN194" i="4"/>
  <c r="AM194" i="4"/>
  <c r="AL194" i="4"/>
  <c r="W194" i="4"/>
  <c r="U194" i="4"/>
  <c r="AP193" i="4"/>
  <c r="AR193" i="11" s="1"/>
  <c r="AP192" i="4"/>
  <c r="AR192" i="11" s="1"/>
  <c r="X192" i="4"/>
  <c r="Y192" i="11" s="1"/>
  <c r="R192" i="11"/>
  <c r="AY191" i="11"/>
  <c r="AP191" i="4"/>
  <c r="AR191" i="11" s="1"/>
  <c r="X191" i="4"/>
  <c r="Y191" i="11" s="1"/>
  <c r="R191" i="11"/>
  <c r="K191" i="11"/>
  <c r="D191" i="11"/>
  <c r="AP190" i="4"/>
  <c r="AR190" i="11" s="1"/>
  <c r="X190" i="4"/>
  <c r="Y190" i="11" s="1"/>
  <c r="R190" i="11"/>
  <c r="K190" i="11"/>
  <c r="D190" i="11"/>
  <c r="AP189" i="4"/>
  <c r="AR189" i="11" s="1"/>
  <c r="X189" i="4"/>
  <c r="Y189" i="11" s="1"/>
  <c r="R189" i="11"/>
  <c r="K189" i="11"/>
  <c r="AP188" i="4"/>
  <c r="X188" i="4"/>
  <c r="Y188" i="11" s="1"/>
  <c r="R188" i="11"/>
  <c r="K188" i="11"/>
  <c r="D188" i="11"/>
  <c r="AY187" i="11"/>
  <c r="AP187" i="4"/>
  <c r="AR187" i="11" s="1"/>
  <c r="X187" i="4"/>
  <c r="Y187" i="11" s="1"/>
  <c r="R187" i="11"/>
  <c r="K187" i="11"/>
  <c r="D187" i="11"/>
  <c r="AP186" i="4"/>
  <c r="AR186" i="11" s="1"/>
  <c r="X186" i="4"/>
  <c r="Y186" i="11" s="1"/>
  <c r="D186" i="11"/>
  <c r="AP185" i="4"/>
  <c r="AR185" i="11" s="1"/>
  <c r="X185" i="4"/>
  <c r="Y185" i="11" s="1"/>
  <c r="AP184" i="4"/>
  <c r="AR184" i="11" s="1"/>
  <c r="AP183" i="4"/>
  <c r="AR183" i="11" s="1"/>
  <c r="AP182" i="4"/>
  <c r="AR182" i="11" s="1"/>
  <c r="K182" i="11"/>
  <c r="AP181" i="4"/>
  <c r="AR181" i="11" s="1"/>
  <c r="V181" i="4"/>
  <c r="V194" i="4" s="1"/>
  <c r="K181" i="11"/>
  <c r="AP180" i="4"/>
  <c r="AR180" i="11" s="1"/>
  <c r="V180" i="4"/>
  <c r="X180" i="4" s="1"/>
  <c r="Y180" i="11" s="1"/>
  <c r="AP179" i="4"/>
  <c r="AR179" i="11" s="1"/>
  <c r="X179" i="4"/>
  <c r="Y179" i="11" s="1"/>
  <c r="R179" i="11"/>
  <c r="AP178" i="4"/>
  <c r="AR178" i="11" s="1"/>
  <c r="AP177" i="4"/>
  <c r="AR177" i="11" s="1"/>
  <c r="R177" i="11"/>
  <c r="AP176" i="4"/>
  <c r="R176" i="11"/>
  <c r="AP175" i="4"/>
  <c r="AR175" i="11" s="1"/>
  <c r="K175" i="11"/>
  <c r="AP174" i="4"/>
  <c r="AR174" i="11" s="1"/>
  <c r="R174" i="11"/>
  <c r="D174" i="11"/>
  <c r="AN171" i="4"/>
  <c r="AM171" i="4"/>
  <c r="W171" i="4"/>
  <c r="V171" i="4"/>
  <c r="U171" i="4"/>
  <c r="AP170" i="4"/>
  <c r="AR170" i="11" s="1"/>
  <c r="AP169" i="4"/>
  <c r="AR169" i="11" s="1"/>
  <c r="X169" i="4"/>
  <c r="Y169" i="11" s="1"/>
  <c r="R169" i="11"/>
  <c r="K169" i="11"/>
  <c r="D169" i="11"/>
  <c r="AP168" i="4"/>
  <c r="AR168" i="11" s="1"/>
  <c r="AP167" i="4"/>
  <c r="AR167" i="11" s="1"/>
  <c r="AP166" i="4"/>
  <c r="AR166" i="11" s="1"/>
  <c r="X166" i="4"/>
  <c r="Y166" i="11" s="1"/>
  <c r="X165" i="4"/>
  <c r="Y165" i="11" s="1"/>
  <c r="AP164" i="4"/>
  <c r="AR164" i="11" s="1"/>
  <c r="AP163" i="4"/>
  <c r="AR163" i="11" s="1"/>
  <c r="X163" i="4"/>
  <c r="Y163" i="11" s="1"/>
  <c r="K163" i="11"/>
  <c r="D163" i="11"/>
  <c r="AP162" i="4"/>
  <c r="AR162" i="11" s="1"/>
  <c r="X162" i="4"/>
  <c r="Y162" i="11" s="1"/>
  <c r="R162" i="11"/>
  <c r="AN159" i="4"/>
  <c r="AM159" i="4"/>
  <c r="AL159" i="4"/>
  <c r="AP158" i="4"/>
  <c r="AR158" i="11" s="1"/>
  <c r="X158" i="4"/>
  <c r="Y158" i="11" s="1"/>
  <c r="R158" i="11"/>
  <c r="K158" i="11"/>
  <c r="D158" i="11"/>
  <c r="AP157" i="4"/>
  <c r="AR157" i="11" s="1"/>
  <c r="AP156" i="4"/>
  <c r="AR156" i="11" s="1"/>
  <c r="AP155" i="4"/>
  <c r="AR155" i="11" s="1"/>
  <c r="X155" i="4"/>
  <c r="Y155" i="11" s="1"/>
  <c r="R155" i="11"/>
  <c r="K155" i="11"/>
  <c r="D155" i="11"/>
  <c r="AP154" i="4"/>
  <c r="AR154" i="11" s="1"/>
  <c r="AP153" i="4"/>
  <c r="AR153" i="11" s="1"/>
  <c r="AP152" i="4"/>
  <c r="AR152" i="11" s="1"/>
  <c r="X152" i="4"/>
  <c r="Y152" i="11" s="1"/>
  <c r="AN149" i="4"/>
  <c r="AM149" i="4"/>
  <c r="W149" i="4"/>
  <c r="V149" i="4"/>
  <c r="U149" i="4"/>
  <c r="AL148" i="4"/>
  <c r="AP148" i="4" s="1"/>
  <c r="AR148" i="11" s="1"/>
  <c r="AP147" i="4"/>
  <c r="AR147" i="11" s="1"/>
  <c r="X147" i="4"/>
  <c r="Y147" i="11" s="1"/>
  <c r="R147" i="11"/>
  <c r="K147" i="11"/>
  <c r="D147" i="11"/>
  <c r="AN141" i="4"/>
  <c r="AM141" i="4"/>
  <c r="W141" i="4"/>
  <c r="V141" i="4"/>
  <c r="AM140" i="4"/>
  <c r="AP140" i="4" s="1"/>
  <c r="AR140" i="11" s="1"/>
  <c r="AP137" i="4"/>
  <c r="AR137" i="11" s="1"/>
  <c r="X137" i="4"/>
  <c r="Y137" i="11" s="1"/>
  <c r="R137" i="11"/>
  <c r="K137" i="11"/>
  <c r="D137" i="11"/>
  <c r="AP136" i="4"/>
  <c r="AR136" i="11" s="1"/>
  <c r="X136" i="4"/>
  <c r="R136" i="11"/>
  <c r="K136" i="11"/>
  <c r="D136" i="11"/>
  <c r="AP135" i="4"/>
  <c r="AR135" i="11" s="1"/>
  <c r="X135" i="4"/>
  <c r="Y135" i="11" s="1"/>
  <c r="AP131" i="4"/>
  <c r="AR131" i="11" s="1"/>
  <c r="X131" i="4"/>
  <c r="Y131" i="11" s="1"/>
  <c r="R131" i="11"/>
  <c r="K131" i="11"/>
  <c r="AP130" i="4"/>
  <c r="AR130" i="11" s="1"/>
  <c r="X130" i="4"/>
  <c r="Y130" i="11" s="1"/>
  <c r="R130" i="11"/>
  <c r="K130" i="11"/>
  <c r="D130" i="11"/>
  <c r="AN125" i="4"/>
  <c r="AN126" i="4" s="1"/>
  <c r="AM125" i="4"/>
  <c r="U125" i="4"/>
  <c r="U126" i="4" s="1"/>
  <c r="AP124" i="4"/>
  <c r="AR124" i="11" s="1"/>
  <c r="T124" i="4"/>
  <c r="X124" i="4" s="1"/>
  <c r="Y124" i="11" s="1"/>
  <c r="W123" i="4"/>
  <c r="W125" i="4" s="1"/>
  <c r="V123" i="4"/>
  <c r="AP122" i="4"/>
  <c r="X122" i="4"/>
  <c r="K122" i="11"/>
  <c r="AP121" i="4"/>
  <c r="AR121" i="11" s="1"/>
  <c r="AP120" i="4"/>
  <c r="AR120" i="11" s="1"/>
  <c r="X120" i="4"/>
  <c r="Y120" i="11" s="1"/>
  <c r="D120" i="11"/>
  <c r="AP119" i="4"/>
  <c r="AR119" i="11" s="1"/>
  <c r="X119" i="4"/>
  <c r="Y119" i="11" s="1"/>
  <c r="D119" i="11"/>
  <c r="AP115" i="4"/>
  <c r="AR115" i="11" s="1"/>
  <c r="X115" i="4"/>
  <c r="Y115" i="11" s="1"/>
  <c r="R115" i="11"/>
  <c r="K115" i="11"/>
  <c r="D115" i="11"/>
  <c r="AY114" i="11"/>
  <c r="AP114" i="4"/>
  <c r="AR114" i="11" s="1"/>
  <c r="X114" i="4"/>
  <c r="R114" i="11"/>
  <c r="K114" i="11"/>
  <c r="AN112" i="4"/>
  <c r="AM112" i="4"/>
  <c r="AL112" i="4"/>
  <c r="AP112" i="4" s="1"/>
  <c r="AR112" i="11" s="1"/>
  <c r="W112" i="4"/>
  <c r="V112" i="4"/>
  <c r="U112" i="4"/>
  <c r="T112" i="4"/>
  <c r="W109" i="4"/>
  <c r="W110" i="4" s="1"/>
  <c r="U109" i="4"/>
  <c r="AP108" i="4"/>
  <c r="AR108" i="11" s="1"/>
  <c r="X108" i="4"/>
  <c r="Y108" i="11" s="1"/>
  <c r="AP107" i="4"/>
  <c r="AR107" i="11" s="1"/>
  <c r="X107" i="4"/>
  <c r="Y107" i="11" s="1"/>
  <c r="K107" i="11"/>
  <c r="D107" i="11"/>
  <c r="X106" i="4"/>
  <c r="Y106" i="11" s="1"/>
  <c r="R106" i="11"/>
  <c r="AP105" i="4"/>
  <c r="AR105" i="11" s="1"/>
  <c r="X105" i="4"/>
  <c r="Y105" i="11" s="1"/>
  <c r="AP104" i="4"/>
  <c r="AR104" i="11" s="1"/>
  <c r="X104" i="4"/>
  <c r="Y104" i="11" s="1"/>
  <c r="K104" i="11"/>
  <c r="D104" i="11"/>
  <c r="AP103" i="4"/>
  <c r="AR103" i="11" s="1"/>
  <c r="X103" i="4"/>
  <c r="Y103" i="11" s="1"/>
  <c r="R103" i="11"/>
  <c r="K103" i="11"/>
  <c r="D103" i="11"/>
  <c r="X102" i="4"/>
  <c r="Y102" i="11" s="1"/>
  <c r="K102" i="11"/>
  <c r="K101" i="11"/>
  <c r="AP100" i="4"/>
  <c r="AR100" i="11" s="1"/>
  <c r="X100" i="4"/>
  <c r="Y100" i="11" s="1"/>
  <c r="K100" i="11"/>
  <c r="AP99" i="4"/>
  <c r="AR99" i="11" s="1"/>
  <c r="X99" i="4"/>
  <c r="Y99" i="11" s="1"/>
  <c r="AP97" i="4"/>
  <c r="AR97" i="11" s="1"/>
  <c r="X97" i="4"/>
  <c r="Y97" i="11" s="1"/>
  <c r="R97" i="11"/>
  <c r="K97" i="11"/>
  <c r="D97" i="11"/>
  <c r="X96" i="4"/>
  <c r="R96" i="11"/>
  <c r="AP95" i="4"/>
  <c r="AR95" i="11" s="1"/>
  <c r="X95" i="4"/>
  <c r="Y95" i="11" s="1"/>
  <c r="X94" i="4"/>
  <c r="AP93" i="4"/>
  <c r="AR93" i="11" s="1"/>
  <c r="X93" i="4"/>
  <c r="R93" i="11"/>
  <c r="AP88" i="4"/>
  <c r="AR88" i="11" s="1"/>
  <c r="AN88" i="4"/>
  <c r="AM88" i="4"/>
  <c r="AL88" i="4"/>
  <c r="X88" i="4"/>
  <c r="Y88" i="11" s="1"/>
  <c r="W88" i="4"/>
  <c r="V88" i="4"/>
  <c r="U88" i="4"/>
  <c r="T88" i="4"/>
  <c r="K88" i="11"/>
  <c r="D88" i="11"/>
  <c r="R87" i="11"/>
  <c r="R86" i="11"/>
  <c r="AN82" i="4"/>
  <c r="AM82" i="4"/>
  <c r="AL82" i="4"/>
  <c r="W82" i="4"/>
  <c r="AP81" i="4"/>
  <c r="AR81" i="11" s="1"/>
  <c r="K81" i="11"/>
  <c r="D81" i="11"/>
  <c r="AP80" i="4"/>
  <c r="AR80" i="11" s="1"/>
  <c r="R80" i="11"/>
  <c r="AP79" i="4"/>
  <c r="AR79" i="11" s="1"/>
  <c r="X79" i="4"/>
  <c r="Y79" i="11" s="1"/>
  <c r="R79" i="11"/>
  <c r="AP78" i="4"/>
  <c r="AR78" i="11" s="1"/>
  <c r="X78" i="4"/>
  <c r="Y78" i="11" s="1"/>
  <c r="R78" i="11"/>
  <c r="K78" i="11"/>
  <c r="D78" i="11"/>
  <c r="AP77" i="4"/>
  <c r="AR77" i="11" s="1"/>
  <c r="X77" i="4"/>
  <c r="R77" i="11"/>
  <c r="K77" i="11"/>
  <c r="D77" i="11"/>
  <c r="AP76" i="4"/>
  <c r="AR76" i="11" s="1"/>
  <c r="X76" i="4"/>
  <c r="Y76" i="11" s="1"/>
  <c r="R76" i="11"/>
  <c r="K76" i="11"/>
  <c r="D76" i="11"/>
  <c r="AP75" i="4"/>
  <c r="AR75" i="11" s="1"/>
  <c r="R75" i="11"/>
  <c r="D75" i="11"/>
  <c r="AP74" i="4"/>
  <c r="AR74" i="11" s="1"/>
  <c r="X74" i="4"/>
  <c r="Y74" i="11" s="1"/>
  <c r="R74" i="11"/>
  <c r="K74" i="11"/>
  <c r="AP73" i="4"/>
  <c r="AR73" i="11" s="1"/>
  <c r="X73" i="4"/>
  <c r="Y73" i="11" s="1"/>
  <c r="R73" i="11"/>
  <c r="K73" i="11"/>
  <c r="D73" i="11"/>
  <c r="AP72" i="4"/>
  <c r="AR72" i="11" s="1"/>
  <c r="T72" i="4"/>
  <c r="R72" i="11"/>
  <c r="AP71" i="4"/>
  <c r="AR71" i="11" s="1"/>
  <c r="AP70" i="4"/>
  <c r="AR70" i="11" s="1"/>
  <c r="AP69" i="4"/>
  <c r="AR69" i="11" s="1"/>
  <c r="AP68" i="4"/>
  <c r="AR68" i="11" s="1"/>
  <c r="AP67" i="4"/>
  <c r="X67" i="4"/>
  <c r="X84" i="4" s="1"/>
  <c r="X91" i="4" s="1"/>
  <c r="X118" i="4" s="1"/>
  <c r="X134" i="4" s="1"/>
  <c r="Y134" i="11" s="1"/>
  <c r="W67" i="4"/>
  <c r="W84" i="4" s="1"/>
  <c r="W91" i="4" s="1"/>
  <c r="W118" i="4" s="1"/>
  <c r="W134" i="4" s="1"/>
  <c r="D67" i="11"/>
  <c r="W64" i="4"/>
  <c r="V64" i="4"/>
  <c r="AN61" i="4"/>
  <c r="AN64" i="4" s="1"/>
  <c r="AN113" i="4" s="1"/>
  <c r="AM61" i="4"/>
  <c r="AM64" i="4" s="1"/>
  <c r="AM113" i="4" s="1"/>
  <c r="AL61" i="4"/>
  <c r="AL64" i="4" s="1"/>
  <c r="AL113" i="4" s="1"/>
  <c r="W61" i="4"/>
  <c r="V61" i="4"/>
  <c r="U61" i="4"/>
  <c r="U64" i="4" s="1"/>
  <c r="U113" i="4" s="1"/>
  <c r="T61" i="4"/>
  <c r="T64" i="4" s="1"/>
  <c r="T113" i="4" s="1"/>
  <c r="AP60" i="4"/>
  <c r="AR60" i="11" s="1"/>
  <c r="X60" i="4"/>
  <c r="Y60" i="11" s="1"/>
  <c r="R60" i="11"/>
  <c r="K60" i="11"/>
  <c r="AY59" i="11"/>
  <c r="AP59" i="4"/>
  <c r="AR59" i="11" s="1"/>
  <c r="X59" i="4"/>
  <c r="R59" i="11"/>
  <c r="K59" i="11"/>
  <c r="D59" i="11"/>
  <c r="AP58" i="4"/>
  <c r="AR58" i="11" s="1"/>
  <c r="X58" i="4"/>
  <c r="Y58" i="11" s="1"/>
  <c r="R58" i="11"/>
  <c r="K58" i="11"/>
  <c r="D58" i="11"/>
  <c r="AP57" i="4"/>
  <c r="AR57" i="11" s="1"/>
  <c r="X57" i="4"/>
  <c r="R57" i="11"/>
  <c r="K57" i="11"/>
  <c r="D57" i="11"/>
  <c r="AY56" i="11"/>
  <c r="AP56" i="4"/>
  <c r="X56" i="4"/>
  <c r="Y56" i="11" s="1"/>
  <c r="R56" i="11"/>
  <c r="K56" i="11"/>
  <c r="D56" i="11"/>
  <c r="AP55" i="4"/>
  <c r="AR55" i="11" s="1"/>
  <c r="X55" i="4"/>
  <c r="R55" i="11"/>
  <c r="K55" i="11"/>
  <c r="D55" i="11"/>
  <c r="AP54" i="4"/>
  <c r="X54" i="4"/>
  <c r="Y54" i="11" s="1"/>
  <c r="R54" i="11"/>
  <c r="K54" i="11"/>
  <c r="D54" i="11"/>
  <c r="AP53" i="4"/>
  <c r="AR53" i="11" s="1"/>
  <c r="X53" i="4"/>
  <c r="Y53" i="11" s="1"/>
  <c r="R53" i="11"/>
  <c r="K53" i="11"/>
  <c r="D53" i="11"/>
  <c r="AP52" i="4"/>
  <c r="AR52" i="11" s="1"/>
  <c r="X52" i="4"/>
  <c r="Y52" i="11" s="1"/>
  <c r="R52" i="11"/>
  <c r="K52" i="11"/>
  <c r="D52" i="11"/>
  <c r="AP51" i="4"/>
  <c r="AR51" i="11" s="1"/>
  <c r="X51" i="4"/>
  <c r="Y51" i="11" s="1"/>
  <c r="R51" i="11"/>
  <c r="K51" i="11"/>
  <c r="D51" i="11"/>
  <c r="AP50" i="4"/>
  <c r="AR50" i="11" s="1"/>
  <c r="X50" i="4"/>
  <c r="Y50" i="11" s="1"/>
  <c r="R50" i="11"/>
  <c r="K50" i="11"/>
  <c r="D50" i="11"/>
  <c r="AP49" i="4"/>
  <c r="AR49" i="11" s="1"/>
  <c r="X49" i="4"/>
  <c r="Y49" i="11" s="1"/>
  <c r="R49" i="11"/>
  <c r="D49" i="11"/>
  <c r="AP48" i="4"/>
  <c r="AR48" i="11" s="1"/>
  <c r="X48" i="4"/>
  <c r="Y48" i="11" s="1"/>
  <c r="R48" i="11"/>
  <c r="K48" i="11"/>
  <c r="D48" i="11"/>
  <c r="AP47" i="4"/>
  <c r="AR47" i="11" s="1"/>
  <c r="X47" i="4"/>
  <c r="Y47" i="11" s="1"/>
  <c r="R47" i="11"/>
  <c r="K47" i="11"/>
  <c r="D47" i="11"/>
  <c r="AP46" i="4"/>
  <c r="AR46" i="11" s="1"/>
  <c r="X46" i="4"/>
  <c r="Y46" i="11" s="1"/>
  <c r="R46" i="11"/>
  <c r="D46" i="11"/>
  <c r="AP45" i="4"/>
  <c r="AR45" i="11" s="1"/>
  <c r="X45" i="4"/>
  <c r="R45" i="11"/>
  <c r="AY44" i="11"/>
  <c r="AP44" i="4"/>
  <c r="AR44" i="11" s="1"/>
  <c r="X44" i="4"/>
  <c r="Y44" i="11" s="1"/>
  <c r="R44" i="11"/>
  <c r="K44" i="11"/>
  <c r="AY43" i="11"/>
  <c r="AP43" i="4"/>
  <c r="AR43" i="11" s="1"/>
  <c r="X43" i="4"/>
  <c r="Y43" i="11" s="1"/>
  <c r="R43" i="11"/>
  <c r="D43" i="11"/>
  <c r="AP42" i="4"/>
  <c r="AR42" i="11" s="1"/>
  <c r="X42" i="4"/>
  <c r="Y42" i="11" s="1"/>
  <c r="R42" i="11"/>
  <c r="K42" i="11"/>
  <c r="D42" i="11"/>
  <c r="AP41" i="4"/>
  <c r="AR41" i="11" s="1"/>
  <c r="X41" i="4"/>
  <c r="Y41" i="11" s="1"/>
  <c r="AP40" i="4"/>
  <c r="AR40" i="11" s="1"/>
  <c r="X40" i="4"/>
  <c r="Y40" i="11" s="1"/>
  <c r="R40" i="11"/>
  <c r="K40" i="11"/>
  <c r="D40" i="11"/>
  <c r="AY39" i="11"/>
  <c r="AP39" i="4"/>
  <c r="AR39" i="11" s="1"/>
  <c r="X39" i="4"/>
  <c r="R39" i="11"/>
  <c r="K39" i="11"/>
  <c r="D39" i="11"/>
  <c r="AY38" i="11"/>
  <c r="AP38" i="4"/>
  <c r="X38" i="4"/>
  <c r="Y38" i="11" s="1"/>
  <c r="W38" i="4"/>
  <c r="K38" i="11"/>
  <c r="D38" i="11"/>
  <c r="AN36" i="4"/>
  <c r="AM36" i="4"/>
  <c r="AL36" i="4"/>
  <c r="AL63" i="4" s="1"/>
  <c r="W36" i="4"/>
  <c r="W154" i="4" s="1"/>
  <c r="W159" i="4" s="1"/>
  <c r="V36" i="4"/>
  <c r="V154" i="4" s="1"/>
  <c r="V159" i="4" s="1"/>
  <c r="U36" i="4"/>
  <c r="U154" i="4" s="1"/>
  <c r="T36" i="4"/>
  <c r="T121" i="4" s="1"/>
  <c r="AP35" i="4"/>
  <c r="AR35" i="11" s="1"/>
  <c r="X35" i="4"/>
  <c r="Y35" i="11" s="1"/>
  <c r="R35" i="11"/>
  <c r="K35" i="11"/>
  <c r="D35" i="11"/>
  <c r="AP34" i="4"/>
  <c r="AR34" i="11" s="1"/>
  <c r="X34" i="4"/>
  <c r="Y34" i="11" s="1"/>
  <c r="R34" i="11"/>
  <c r="D34" i="11"/>
  <c r="AP33" i="4"/>
  <c r="AR33" i="11" s="1"/>
  <c r="X33" i="4"/>
  <c r="Y33" i="11" s="1"/>
  <c r="R33" i="11"/>
  <c r="K33" i="11"/>
  <c r="D33" i="11"/>
  <c r="AP32" i="4"/>
  <c r="AR32" i="11" s="1"/>
  <c r="X32" i="4"/>
  <c r="Y32" i="11" s="1"/>
  <c r="R32" i="11"/>
  <c r="K32" i="11"/>
  <c r="AY31" i="11"/>
  <c r="AP31" i="4"/>
  <c r="X31" i="4"/>
  <c r="Y31" i="11" s="1"/>
  <c r="R31" i="11"/>
  <c r="K31" i="11"/>
  <c r="D31" i="11"/>
  <c r="AP30" i="4"/>
  <c r="AR30" i="11" s="1"/>
  <c r="X30" i="4"/>
  <c r="Y30" i="11" s="1"/>
  <c r="R30" i="11"/>
  <c r="AP29" i="4"/>
  <c r="AR29" i="11" s="1"/>
  <c r="X29" i="4"/>
  <c r="Y29" i="11" s="1"/>
  <c r="R29" i="11"/>
  <c r="K29" i="11"/>
  <c r="D29" i="11"/>
  <c r="AP28" i="4"/>
  <c r="AR28" i="11" s="1"/>
  <c r="X28" i="4"/>
  <c r="Y28" i="11" s="1"/>
  <c r="R28" i="11"/>
  <c r="K28" i="11"/>
  <c r="D28" i="11"/>
  <c r="AP27" i="4"/>
  <c r="AR27" i="11" s="1"/>
  <c r="X27" i="4"/>
  <c r="R27" i="11"/>
  <c r="K27" i="11"/>
  <c r="D27" i="11"/>
  <c r="AP26" i="4"/>
  <c r="X26" i="4"/>
  <c r="W26" i="4"/>
  <c r="R26" i="11"/>
  <c r="K26" i="11"/>
  <c r="D26" i="11"/>
  <c r="AY25" i="11"/>
  <c r="AP25" i="4"/>
  <c r="AR25" i="11" s="1"/>
  <c r="X25" i="4"/>
  <c r="R25" i="11"/>
  <c r="K25" i="11"/>
  <c r="D25" i="11"/>
  <c r="AP24" i="4"/>
  <c r="AR24" i="11" s="1"/>
  <c r="X24" i="4"/>
  <c r="Y24" i="11" s="1"/>
  <c r="R24" i="11"/>
  <c r="K24" i="11"/>
  <c r="D24" i="11"/>
  <c r="AP23" i="4"/>
  <c r="X23" i="4"/>
  <c r="Y23" i="11" s="1"/>
  <c r="R23" i="11"/>
  <c r="K23" i="11"/>
  <c r="D23" i="11"/>
  <c r="AP22" i="4"/>
  <c r="AR22" i="11" s="1"/>
  <c r="X22" i="4"/>
  <c r="Y22" i="11" s="1"/>
  <c r="R22" i="11"/>
  <c r="K22" i="11"/>
  <c r="D22" i="11"/>
  <c r="AP21" i="4"/>
  <c r="AR21" i="11" s="1"/>
  <c r="X21" i="4"/>
  <c r="Y21" i="11" s="1"/>
  <c r="R21" i="11"/>
  <c r="K21" i="11"/>
  <c r="D21" i="11"/>
  <c r="AL17" i="4"/>
  <c r="AL146" i="4" s="1"/>
  <c r="AP146" i="4" s="1"/>
  <c r="AR146" i="11" s="1"/>
  <c r="U17" i="4"/>
  <c r="T5" i="4"/>
  <c r="Y5" i="11" s="1"/>
  <c r="T4" i="4"/>
  <c r="Y4" i="11" s="1"/>
  <c r="AL3" i="4"/>
  <c r="K3" i="11"/>
  <c r="D3" i="11"/>
  <c r="AM106" i="3"/>
  <c r="AL101" i="3"/>
  <c r="AL98" i="3"/>
  <c r="AL96" i="3"/>
  <c r="AM94" i="3"/>
  <c r="AL123" i="3"/>
  <c r="AV107" i="3"/>
  <c r="AV100" i="3"/>
  <c r="AV106" i="3"/>
  <c r="AV105" i="3"/>
  <c r="AV104" i="3"/>
  <c r="AV96" i="3"/>
  <c r="AV95" i="3"/>
  <c r="AV94" i="3"/>
  <c r="AV163" i="3"/>
  <c r="AX37" i="11"/>
  <c r="AX62" i="11"/>
  <c r="AX66" i="11"/>
  <c r="AX117" i="11"/>
  <c r="AX133" i="11"/>
  <c r="AX142" i="11"/>
  <c r="AX150" i="11"/>
  <c r="AX160" i="11"/>
  <c r="AX172" i="11"/>
  <c r="AX195" i="11"/>
  <c r="AX208" i="11"/>
  <c r="AX210" i="11"/>
  <c r="AX211" i="11"/>
  <c r="AX217" i="11"/>
  <c r="AX219" i="11"/>
  <c r="AW23" i="11"/>
  <c r="AW25" i="11"/>
  <c r="AW26" i="11"/>
  <c r="AW29" i="11"/>
  <c r="AW30" i="11"/>
  <c r="AW31" i="11"/>
  <c r="AW32" i="11"/>
  <c r="AW33" i="11"/>
  <c r="AW34" i="11"/>
  <c r="AW35" i="11"/>
  <c r="AW37" i="11"/>
  <c r="AW38" i="11"/>
  <c r="AW42" i="11"/>
  <c r="AW45" i="11"/>
  <c r="AW46" i="11"/>
  <c r="AW48" i="11"/>
  <c r="AW49" i="11"/>
  <c r="AW53" i="11"/>
  <c r="AW54" i="11"/>
  <c r="AW55" i="11"/>
  <c r="AW56" i="11"/>
  <c r="AW57" i="11"/>
  <c r="AW58" i="11"/>
  <c r="AW59" i="11"/>
  <c r="AW60" i="11"/>
  <c r="AW62" i="11"/>
  <c r="AW66" i="11"/>
  <c r="AW67" i="11"/>
  <c r="AW70" i="11"/>
  <c r="AW75" i="11"/>
  <c r="AW78" i="11"/>
  <c r="AW79" i="11"/>
  <c r="AW80" i="11"/>
  <c r="AW81" i="11"/>
  <c r="AW84" i="11"/>
  <c r="AW85" i="11"/>
  <c r="AW86" i="11"/>
  <c r="AW91" i="11"/>
  <c r="AW96" i="11"/>
  <c r="AW97" i="11"/>
  <c r="AW100" i="11"/>
  <c r="AW102" i="11"/>
  <c r="AW103" i="11"/>
  <c r="AW105" i="11"/>
  <c r="AW106" i="11"/>
  <c r="AW107" i="11"/>
  <c r="AW108" i="11"/>
  <c r="AW114" i="11"/>
  <c r="AW115" i="11"/>
  <c r="AW117" i="11"/>
  <c r="AW118" i="11"/>
  <c r="AW124" i="11"/>
  <c r="AW131" i="11"/>
  <c r="AW133" i="11"/>
  <c r="AW134" i="11"/>
  <c r="AW135" i="11"/>
  <c r="AW136" i="11"/>
  <c r="AW137" i="11"/>
  <c r="AW142" i="11"/>
  <c r="AW143" i="11"/>
  <c r="AW150" i="11"/>
  <c r="AW151" i="11"/>
  <c r="AW155" i="11"/>
  <c r="AW158" i="11"/>
  <c r="AW160" i="11"/>
  <c r="AW161" i="11"/>
  <c r="AW162" i="11"/>
  <c r="AW163" i="11"/>
  <c r="AW165" i="11"/>
  <c r="AW169" i="11"/>
  <c r="AW172" i="11"/>
  <c r="AW173" i="11"/>
  <c r="AW176" i="11"/>
  <c r="AW177" i="11"/>
  <c r="AW182" i="11"/>
  <c r="AW183" i="11"/>
  <c r="AW184" i="11"/>
  <c r="AW185" i="11"/>
  <c r="AW186" i="11"/>
  <c r="AW187" i="11"/>
  <c r="AW189" i="11"/>
  <c r="AW190" i="11"/>
  <c r="AW191" i="11"/>
  <c r="AW195" i="11"/>
  <c r="AW196" i="11"/>
  <c r="AW202" i="11"/>
  <c r="AW204" i="11"/>
  <c r="AW208" i="11"/>
  <c r="AW210" i="11"/>
  <c r="AW211" i="11"/>
  <c r="AW215" i="11"/>
  <c r="AW217" i="11"/>
  <c r="AW219" i="11"/>
  <c r="AW220" i="11"/>
  <c r="AX20" i="11"/>
  <c r="AW20" i="11"/>
  <c r="AQ37" i="11"/>
  <c r="AQ62" i="11"/>
  <c r="AQ66" i="11"/>
  <c r="AQ85" i="11"/>
  <c r="AQ86" i="11"/>
  <c r="AQ87" i="11"/>
  <c r="AQ117" i="11"/>
  <c r="AQ133" i="11"/>
  <c r="AQ142" i="11"/>
  <c r="AQ150" i="11"/>
  <c r="AQ160" i="11"/>
  <c r="AQ172" i="11"/>
  <c r="AQ195" i="11"/>
  <c r="AQ208" i="11"/>
  <c r="AQ210" i="11"/>
  <c r="AQ211" i="11"/>
  <c r="AQ217" i="11"/>
  <c r="AQ219" i="11"/>
  <c r="AP21" i="11"/>
  <c r="AP22" i="11"/>
  <c r="AP23" i="11"/>
  <c r="AP24" i="11"/>
  <c r="AP25" i="11"/>
  <c r="AP26" i="11"/>
  <c r="AP27" i="11"/>
  <c r="AP28" i="11"/>
  <c r="AP29" i="11"/>
  <c r="AP30" i="11"/>
  <c r="AP31" i="11"/>
  <c r="AP32" i="11"/>
  <c r="AP33" i="11"/>
  <c r="AP34" i="11"/>
  <c r="AP35" i="11"/>
  <c r="AP36" i="11"/>
  <c r="AP37" i="11"/>
  <c r="AP38" i="11"/>
  <c r="AP39" i="11"/>
  <c r="AP40" i="11"/>
  <c r="AP42" i="11"/>
  <c r="AP45" i="11"/>
  <c r="AP46" i="11"/>
  <c r="AP47" i="11"/>
  <c r="AP48" i="11"/>
  <c r="AP49" i="11"/>
  <c r="AP51" i="11"/>
  <c r="AP53" i="11"/>
  <c r="AP54" i="11"/>
  <c r="AP55" i="11"/>
  <c r="AP56" i="11"/>
  <c r="AP57" i="11"/>
  <c r="AP58" i="11"/>
  <c r="AP59" i="11"/>
  <c r="AP60" i="11"/>
  <c r="AP62" i="11"/>
  <c r="AP66" i="11"/>
  <c r="AP67" i="11"/>
  <c r="AP68" i="11"/>
  <c r="AP69" i="11"/>
  <c r="AP70" i="11"/>
  <c r="AP71" i="11"/>
  <c r="AP72" i="11"/>
  <c r="AP73" i="11"/>
  <c r="AP74" i="11"/>
  <c r="AP75" i="11"/>
  <c r="AP78" i="11"/>
  <c r="AP79" i="11"/>
  <c r="AP80" i="11"/>
  <c r="AP81" i="11"/>
  <c r="AP84" i="11"/>
  <c r="AP85" i="11"/>
  <c r="AP86" i="11"/>
  <c r="AP87" i="11"/>
  <c r="AP88" i="11"/>
  <c r="AP91" i="11"/>
  <c r="AP93" i="11"/>
  <c r="AP96" i="11"/>
  <c r="AP97" i="11"/>
  <c r="AP98" i="11"/>
  <c r="AP99" i="11"/>
  <c r="AP100" i="11"/>
  <c r="AP101" i="11"/>
  <c r="AP102" i="11"/>
  <c r="AP103" i="11"/>
  <c r="AP104" i="11"/>
  <c r="AP105" i="11"/>
  <c r="AP106" i="11"/>
  <c r="AP107" i="11"/>
  <c r="AP108" i="11"/>
  <c r="AP114" i="11"/>
  <c r="AP115" i="11"/>
  <c r="AP117" i="11"/>
  <c r="AP118" i="11"/>
  <c r="AP121" i="11"/>
  <c r="AP122" i="11"/>
  <c r="AP124" i="11"/>
  <c r="AP130" i="11"/>
  <c r="AP131" i="11"/>
  <c r="AP133" i="11"/>
  <c r="AP134" i="11"/>
  <c r="AP135" i="11"/>
  <c r="AP136" i="11"/>
  <c r="AP137" i="11"/>
  <c r="AP138" i="11"/>
  <c r="AP139" i="11"/>
  <c r="AP140" i="11"/>
  <c r="AP141" i="11"/>
  <c r="AP142" i="11"/>
  <c r="AP143" i="11"/>
  <c r="AP144" i="11"/>
  <c r="AP145" i="11"/>
  <c r="AP146" i="11"/>
  <c r="AP147" i="11"/>
  <c r="AP148" i="11"/>
  <c r="AP149" i="11"/>
  <c r="AP150" i="11"/>
  <c r="AP151" i="11"/>
  <c r="AP153" i="11"/>
  <c r="AP154" i="11"/>
  <c r="AP155" i="11"/>
  <c r="AP156" i="11"/>
  <c r="AP157" i="11"/>
  <c r="AP158" i="11"/>
  <c r="AP160" i="11"/>
  <c r="AP161" i="11"/>
  <c r="AP162" i="11"/>
  <c r="AP163" i="11"/>
  <c r="AP164" i="11"/>
  <c r="AP165" i="11"/>
  <c r="AP166" i="11"/>
  <c r="AP167" i="11"/>
  <c r="AP168" i="11"/>
  <c r="AP169" i="11"/>
  <c r="AP172" i="11"/>
  <c r="AP173" i="11"/>
  <c r="AP174" i="11"/>
  <c r="AP175" i="11"/>
  <c r="AP176" i="11"/>
  <c r="AP177" i="11"/>
  <c r="AP178" i="11"/>
  <c r="AP179" i="11"/>
  <c r="AP180" i="11"/>
  <c r="AP181" i="11"/>
  <c r="AP182" i="11"/>
  <c r="AP183" i="11"/>
  <c r="AP184" i="11"/>
  <c r="AP185" i="11"/>
  <c r="AP186" i="11"/>
  <c r="AP187" i="11"/>
  <c r="AP188" i="11"/>
  <c r="AP189" i="11"/>
  <c r="AP190" i="11"/>
  <c r="AP191" i="11"/>
  <c r="AP193" i="11"/>
  <c r="AP195" i="11"/>
  <c r="AP196" i="11"/>
  <c r="AP197" i="11"/>
  <c r="AP198" i="11"/>
  <c r="AP199" i="11"/>
  <c r="AP200" i="11"/>
  <c r="AP201" i="11"/>
  <c r="AP202" i="11"/>
  <c r="AP203" i="11"/>
  <c r="AP204" i="11"/>
  <c r="AP205" i="11"/>
  <c r="AP206" i="11"/>
  <c r="AP207" i="11"/>
  <c r="AP208" i="11"/>
  <c r="AP210" i="11"/>
  <c r="AP211" i="11"/>
  <c r="AP212" i="11"/>
  <c r="AP213" i="11"/>
  <c r="AP214" i="11"/>
  <c r="AP215" i="11"/>
  <c r="AP216" i="11"/>
  <c r="AP217" i="11"/>
  <c r="AP219" i="11"/>
  <c r="AP220" i="11"/>
  <c r="AQ20" i="11"/>
  <c r="AP20" i="11"/>
  <c r="AV81" i="3"/>
  <c r="AL165" i="3"/>
  <c r="AL144" i="3"/>
  <c r="AN102" i="3"/>
  <c r="X37" i="11"/>
  <c r="X62" i="11"/>
  <c r="X66" i="11"/>
  <c r="X85" i="11"/>
  <c r="X86" i="11"/>
  <c r="X87" i="11"/>
  <c r="X117" i="11"/>
  <c r="X133" i="11"/>
  <c r="X142" i="11"/>
  <c r="X150" i="11"/>
  <c r="X160" i="11"/>
  <c r="X172" i="11"/>
  <c r="X195" i="11"/>
  <c r="X208" i="11"/>
  <c r="X210" i="11"/>
  <c r="X211" i="11"/>
  <c r="X217" i="11"/>
  <c r="X219" i="11"/>
  <c r="W22" i="11"/>
  <c r="W23" i="11"/>
  <c r="W24" i="11"/>
  <c r="W25" i="11"/>
  <c r="W26" i="11"/>
  <c r="W29" i="11"/>
  <c r="W30" i="11"/>
  <c r="W31" i="11"/>
  <c r="W32" i="11"/>
  <c r="W33" i="11"/>
  <c r="W34" i="11"/>
  <c r="W35" i="11"/>
  <c r="W37" i="11"/>
  <c r="W38" i="11"/>
  <c r="W41" i="11"/>
  <c r="W42" i="11"/>
  <c r="W43" i="11"/>
  <c r="W44" i="11"/>
  <c r="W45" i="11"/>
  <c r="W46" i="11"/>
  <c r="W48" i="11"/>
  <c r="W49" i="11"/>
  <c r="W52" i="11"/>
  <c r="W53" i="11"/>
  <c r="W54" i="11"/>
  <c r="W55" i="11"/>
  <c r="W56" i="11"/>
  <c r="W57" i="11"/>
  <c r="W58" i="11"/>
  <c r="W59" i="11"/>
  <c r="W60" i="11"/>
  <c r="W62" i="11"/>
  <c r="W66" i="11"/>
  <c r="W67" i="11"/>
  <c r="W69" i="11"/>
  <c r="W70" i="11"/>
  <c r="W71" i="11"/>
  <c r="W75" i="11"/>
  <c r="W77" i="11"/>
  <c r="W78" i="11"/>
  <c r="W79" i="11"/>
  <c r="W80" i="11"/>
  <c r="W81" i="11"/>
  <c r="W84" i="11"/>
  <c r="W85" i="11"/>
  <c r="W86" i="11"/>
  <c r="W87" i="11"/>
  <c r="W88" i="11"/>
  <c r="W91" i="11"/>
  <c r="W93" i="11"/>
  <c r="W95" i="11"/>
  <c r="W96" i="11"/>
  <c r="W97" i="11"/>
  <c r="W100" i="11"/>
  <c r="W102" i="11"/>
  <c r="W103" i="11"/>
  <c r="W104" i="11"/>
  <c r="W105" i="11"/>
  <c r="W106" i="11"/>
  <c r="W107" i="11"/>
  <c r="W108" i="11"/>
  <c r="W114" i="11"/>
  <c r="W115" i="11"/>
  <c r="W117" i="11"/>
  <c r="W118" i="11"/>
  <c r="W119" i="11"/>
  <c r="W120" i="11"/>
  <c r="W124" i="11"/>
  <c r="W130" i="11"/>
  <c r="W131" i="11"/>
  <c r="W133" i="11"/>
  <c r="W134" i="11"/>
  <c r="W135" i="11"/>
  <c r="W136" i="11"/>
  <c r="W137" i="11"/>
  <c r="W142" i="11"/>
  <c r="W143" i="11"/>
  <c r="W147" i="11"/>
  <c r="W150" i="11"/>
  <c r="W151" i="11"/>
  <c r="W152" i="11"/>
  <c r="W155" i="11"/>
  <c r="W158" i="11"/>
  <c r="W160" i="11"/>
  <c r="W161" i="11"/>
  <c r="W162" i="11"/>
  <c r="W163" i="11"/>
  <c r="W165" i="11"/>
  <c r="W169" i="11"/>
  <c r="W172" i="11"/>
  <c r="W173" i="11"/>
  <c r="W176" i="11"/>
  <c r="W177" i="11"/>
  <c r="W180" i="11"/>
  <c r="W182" i="11"/>
  <c r="W183" i="11"/>
  <c r="W184" i="11"/>
  <c r="W185" i="11"/>
  <c r="W186" i="11"/>
  <c r="W187" i="11"/>
  <c r="W189" i="11"/>
  <c r="W190" i="11"/>
  <c r="W191" i="11"/>
  <c r="W193" i="11"/>
  <c r="W195" i="11"/>
  <c r="W196" i="11"/>
  <c r="W197" i="11"/>
  <c r="W198" i="11"/>
  <c r="W199" i="11"/>
  <c r="W201" i="11"/>
  <c r="W202" i="11"/>
  <c r="W203" i="11"/>
  <c r="W204" i="11"/>
  <c r="W205" i="11"/>
  <c r="W206" i="11"/>
  <c r="W208" i="11"/>
  <c r="W210" i="11"/>
  <c r="W211" i="11"/>
  <c r="W215" i="11"/>
  <c r="W217" i="11"/>
  <c r="W219" i="11"/>
  <c r="W220" i="11"/>
  <c r="Q37" i="11"/>
  <c r="Q62" i="11"/>
  <c r="Q66" i="11"/>
  <c r="Q117" i="11"/>
  <c r="Q133" i="11"/>
  <c r="Q142" i="11"/>
  <c r="Q150" i="11"/>
  <c r="Q160" i="11"/>
  <c r="Q172" i="11"/>
  <c r="Q195" i="11"/>
  <c r="Q208" i="11"/>
  <c r="Q210" i="11"/>
  <c r="Q211" i="11"/>
  <c r="Q217" i="11"/>
  <c r="Q219" i="11"/>
  <c r="P23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2" i="11"/>
  <c r="P53" i="11"/>
  <c r="P54" i="11"/>
  <c r="P55" i="11"/>
  <c r="P56" i="11"/>
  <c r="P57" i="11"/>
  <c r="P58" i="11"/>
  <c r="P59" i="11"/>
  <c r="P60" i="11"/>
  <c r="P62" i="11"/>
  <c r="P66" i="11"/>
  <c r="P67" i="11"/>
  <c r="P68" i="11"/>
  <c r="P70" i="11"/>
  <c r="P75" i="11"/>
  <c r="P77" i="11"/>
  <c r="P78" i="11"/>
  <c r="P79" i="11"/>
  <c r="P80" i="11"/>
  <c r="P81" i="11"/>
  <c r="P84" i="11"/>
  <c r="P85" i="11"/>
  <c r="P86" i="11"/>
  <c r="P91" i="11"/>
  <c r="P95" i="11"/>
  <c r="P96" i="11"/>
  <c r="P97" i="11"/>
  <c r="P98" i="11"/>
  <c r="P100" i="11"/>
  <c r="P102" i="11"/>
  <c r="P103" i="11"/>
  <c r="P105" i="11"/>
  <c r="P106" i="11"/>
  <c r="P107" i="11"/>
  <c r="P108" i="11"/>
  <c r="P114" i="11"/>
  <c r="P115" i="11"/>
  <c r="P117" i="11"/>
  <c r="P118" i="11"/>
  <c r="P119" i="11"/>
  <c r="P120" i="11"/>
  <c r="P121" i="11"/>
  <c r="P122" i="11"/>
  <c r="P124" i="11"/>
  <c r="P131" i="11"/>
  <c r="P133" i="11"/>
  <c r="P134" i="11"/>
  <c r="P135" i="11"/>
  <c r="P136" i="11"/>
  <c r="P137" i="11"/>
  <c r="P138" i="11"/>
  <c r="P139" i="11"/>
  <c r="P142" i="11"/>
  <c r="P143" i="11"/>
  <c r="P144" i="11"/>
  <c r="P145" i="11"/>
  <c r="P146" i="11"/>
  <c r="P148" i="11"/>
  <c r="P150" i="11"/>
  <c r="P151" i="11"/>
  <c r="P152" i="11"/>
  <c r="P155" i="11"/>
  <c r="P156" i="11"/>
  <c r="P157" i="11"/>
  <c r="P158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6" i="11"/>
  <c r="P177" i="11"/>
  <c r="P178" i="11"/>
  <c r="P182" i="11"/>
  <c r="P183" i="11"/>
  <c r="P184" i="11"/>
  <c r="P185" i="11"/>
  <c r="P186" i="11"/>
  <c r="P187" i="11"/>
  <c r="P189" i="11"/>
  <c r="P190" i="11"/>
  <c r="P191" i="11"/>
  <c r="P195" i="11"/>
  <c r="P196" i="11"/>
  <c r="P199" i="11"/>
  <c r="P201" i="11"/>
  <c r="P202" i="11"/>
  <c r="P204" i="11"/>
  <c r="P205" i="11"/>
  <c r="P208" i="11"/>
  <c r="P210" i="11"/>
  <c r="P211" i="11"/>
  <c r="P212" i="11"/>
  <c r="P213" i="11"/>
  <c r="P214" i="11"/>
  <c r="P215" i="11"/>
  <c r="P216" i="11"/>
  <c r="P217" i="11"/>
  <c r="P219" i="11"/>
  <c r="P220" i="11"/>
  <c r="J37" i="11"/>
  <c r="J62" i="11"/>
  <c r="J66" i="11"/>
  <c r="J85" i="11"/>
  <c r="J86" i="11"/>
  <c r="J87" i="11"/>
  <c r="J117" i="11"/>
  <c r="J133" i="11"/>
  <c r="J142" i="11"/>
  <c r="J150" i="11"/>
  <c r="J160" i="11"/>
  <c r="J172" i="11"/>
  <c r="J195" i="11"/>
  <c r="J208" i="11"/>
  <c r="J210" i="11"/>
  <c r="J211" i="11"/>
  <c r="J217" i="11"/>
  <c r="J219" i="11"/>
  <c r="I23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1" i="11"/>
  <c r="I52" i="11"/>
  <c r="I53" i="11"/>
  <c r="I54" i="11"/>
  <c r="I55" i="11"/>
  <c r="I56" i="11"/>
  <c r="I57" i="11"/>
  <c r="I58" i="11"/>
  <c r="I59" i="11"/>
  <c r="I60" i="11"/>
  <c r="I62" i="11"/>
  <c r="I66" i="11"/>
  <c r="I67" i="11"/>
  <c r="I68" i="11"/>
  <c r="I70" i="11"/>
  <c r="I75" i="11"/>
  <c r="I77" i="11"/>
  <c r="I78" i="11"/>
  <c r="I79" i="11"/>
  <c r="I80" i="11"/>
  <c r="I81" i="11"/>
  <c r="I84" i="11"/>
  <c r="I85" i="11"/>
  <c r="I86" i="11"/>
  <c r="I87" i="11"/>
  <c r="I88" i="11"/>
  <c r="I91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12" i="11"/>
  <c r="I114" i="11"/>
  <c r="I115" i="11"/>
  <c r="I117" i="11"/>
  <c r="I118" i="11"/>
  <c r="I119" i="11"/>
  <c r="I120" i="11"/>
  <c r="I122" i="11"/>
  <c r="I124" i="11"/>
  <c r="I131" i="11"/>
  <c r="I133" i="11"/>
  <c r="I134" i="11"/>
  <c r="I135" i="11"/>
  <c r="I136" i="11"/>
  <c r="I137" i="11"/>
  <c r="I138" i="11"/>
  <c r="I139" i="11"/>
  <c r="I142" i="11"/>
  <c r="I143" i="11"/>
  <c r="I144" i="11"/>
  <c r="I145" i="11"/>
  <c r="I146" i="11"/>
  <c r="I147" i="11"/>
  <c r="I148" i="11"/>
  <c r="I149" i="11"/>
  <c r="I150" i="11"/>
  <c r="I151" i="11"/>
  <c r="I152" i="11"/>
  <c r="I155" i="11"/>
  <c r="I156" i="11"/>
  <c r="I157" i="11"/>
  <c r="I158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6" i="11"/>
  <c r="I177" i="11"/>
  <c r="I178" i="11"/>
  <c r="I182" i="11"/>
  <c r="I183" i="11"/>
  <c r="I184" i="11"/>
  <c r="I185" i="11"/>
  <c r="I186" i="11"/>
  <c r="I187" i="11"/>
  <c r="I188" i="11"/>
  <c r="I189" i="11"/>
  <c r="I190" i="11"/>
  <c r="I191" i="11"/>
  <c r="I195" i="11"/>
  <c r="I196" i="11"/>
  <c r="I198" i="11"/>
  <c r="I201" i="11"/>
  <c r="I202" i="11"/>
  <c r="I203" i="11"/>
  <c r="I204" i="11"/>
  <c r="I205" i="11"/>
  <c r="I206" i="11"/>
  <c r="I208" i="11"/>
  <c r="I210" i="11"/>
  <c r="I211" i="11"/>
  <c r="I212" i="11"/>
  <c r="I213" i="11"/>
  <c r="I214" i="11"/>
  <c r="I215" i="11"/>
  <c r="I216" i="11"/>
  <c r="I217" i="11"/>
  <c r="I219" i="11"/>
  <c r="I220" i="11"/>
  <c r="X20" i="11"/>
  <c r="W20" i="11"/>
  <c r="Q20" i="11"/>
  <c r="P20" i="11"/>
  <c r="J20" i="11"/>
  <c r="I20" i="11"/>
  <c r="AV72" i="3"/>
  <c r="Q204" i="11"/>
  <c r="Y15" i="5"/>
  <c r="Y16" i="5"/>
  <c r="Y17" i="5"/>
  <c r="Y14" i="5"/>
  <c r="AV198" i="3"/>
  <c r="AV186" i="3"/>
  <c r="AV202" i="3"/>
  <c r="AV201" i="3"/>
  <c r="AV185" i="3"/>
  <c r="AV177" i="3"/>
  <c r="AV176" i="3"/>
  <c r="T164" i="9" l="1"/>
  <c r="Z17" i="11"/>
  <c r="AN65" i="9"/>
  <c r="AM129" i="9"/>
  <c r="AP129" i="9" s="1"/>
  <c r="AS129" i="11" s="1"/>
  <c r="AZ4" i="11"/>
  <c r="AZ3" i="11"/>
  <c r="AZ17" i="11"/>
  <c r="T178" i="9"/>
  <c r="X146" i="9"/>
  <c r="Z146" i="11" s="1"/>
  <c r="X125" i="9"/>
  <c r="Z125" i="11" s="1"/>
  <c r="X145" i="9"/>
  <c r="Z145" i="11" s="1"/>
  <c r="T148" i="9"/>
  <c r="U153" i="9"/>
  <c r="AN132" i="9"/>
  <c r="L71" i="11"/>
  <c r="L69" i="11"/>
  <c r="R12" i="11"/>
  <c r="AY12" i="11"/>
  <c r="R4" i="11"/>
  <c r="D17" i="11"/>
  <c r="D182" i="11"/>
  <c r="AY182" i="11"/>
  <c r="AY105" i="11"/>
  <c r="D165" i="11"/>
  <c r="AY165" i="11"/>
  <c r="D206" i="11"/>
  <c r="D94" i="11"/>
  <c r="AY94" i="11"/>
  <c r="AY81" i="11"/>
  <c r="AY199" i="11"/>
  <c r="R123" i="11"/>
  <c r="Y84" i="11"/>
  <c r="K67" i="11"/>
  <c r="D205" i="11"/>
  <c r="AY205" i="11"/>
  <c r="R13" i="11"/>
  <c r="AY13" i="11"/>
  <c r="D69" i="11"/>
  <c r="X181" i="4"/>
  <c r="Y181" i="11" s="1"/>
  <c r="AY124" i="11"/>
  <c r="R107" i="11"/>
  <c r="AY107" i="11"/>
  <c r="D101" i="11"/>
  <c r="D162" i="11"/>
  <c r="D70" i="11"/>
  <c r="AY80" i="11"/>
  <c r="AY183" i="11"/>
  <c r="R5" i="11"/>
  <c r="K17" i="11"/>
  <c r="D105" i="11"/>
  <c r="AY106" i="11"/>
  <c r="AY184" i="11"/>
  <c r="R163" i="11"/>
  <c r="D108" i="11"/>
  <c r="AY108" i="11"/>
  <c r="AY166" i="11"/>
  <c r="D185" i="11"/>
  <c r="AY185" i="11"/>
  <c r="R121" i="11"/>
  <c r="R6" i="11"/>
  <c r="AY6" i="11"/>
  <c r="D180" i="11"/>
  <c r="D183" i="11"/>
  <c r="D167" i="11"/>
  <c r="AY167" i="11"/>
  <c r="D197" i="11"/>
  <c r="R7" i="11"/>
  <c r="AY7" i="11"/>
  <c r="AY8" i="11"/>
  <c r="R8" i="11"/>
  <c r="D106" i="11"/>
  <c r="U128" i="4"/>
  <c r="D95" i="11"/>
  <c r="AY95" i="11"/>
  <c r="D145" i="11"/>
  <c r="AY200" i="11"/>
  <c r="AY9" i="11"/>
  <c r="R9" i="11"/>
  <c r="AL171" i="4"/>
  <c r="D184" i="11"/>
  <c r="AY96" i="11"/>
  <c r="AY120" i="11"/>
  <c r="AY175" i="11"/>
  <c r="AY201" i="11"/>
  <c r="K69" i="11"/>
  <c r="K2" i="11"/>
  <c r="AY10" i="11"/>
  <c r="R10" i="11"/>
  <c r="D98" i="11"/>
  <c r="AY98" i="11"/>
  <c r="D148" i="11"/>
  <c r="AY176" i="11"/>
  <c r="AY202" i="11"/>
  <c r="Y67" i="11"/>
  <c r="AY11" i="11"/>
  <c r="R11" i="11"/>
  <c r="AY99" i="11"/>
  <c r="D152" i="11"/>
  <c r="D177" i="11"/>
  <c r="AY203" i="11"/>
  <c r="AY74" i="11"/>
  <c r="AV165" i="3"/>
  <c r="AV205" i="3"/>
  <c r="AV98" i="3"/>
  <c r="AS109" i="3"/>
  <c r="AV203" i="3"/>
  <c r="AV99" i="3"/>
  <c r="AT109" i="3"/>
  <c r="AV182" i="3"/>
  <c r="AV101" i="3"/>
  <c r="AV166" i="3"/>
  <c r="AV206" i="3"/>
  <c r="AV167" i="3"/>
  <c r="AV183" i="3"/>
  <c r="AV80" i="3"/>
  <c r="AV179" i="3"/>
  <c r="AV184" i="3"/>
  <c r="J2" i="11"/>
  <c r="AV197" i="3"/>
  <c r="AV199" i="3"/>
  <c r="AV120" i="3"/>
  <c r="AV175" i="3"/>
  <c r="AV200" i="3"/>
  <c r="X128" i="9"/>
  <c r="Z128" i="11" s="1"/>
  <c r="L216" i="11"/>
  <c r="G28" i="2"/>
  <c r="AS84" i="11"/>
  <c r="AP91" i="9"/>
  <c r="T138" i="9"/>
  <c r="X91" i="9"/>
  <c r="Z84" i="11"/>
  <c r="L84" i="11"/>
  <c r="E63" i="11"/>
  <c r="E36" i="11"/>
  <c r="L207" i="11"/>
  <c r="L202" i="11"/>
  <c r="L36" i="11"/>
  <c r="T139" i="9"/>
  <c r="T168" i="9"/>
  <c r="AM111" i="9"/>
  <c r="AM110" i="9"/>
  <c r="S84" i="11"/>
  <c r="AZ84" i="11"/>
  <c r="AL110" i="9"/>
  <c r="AL111" i="9"/>
  <c r="E151" i="11"/>
  <c r="E109" i="11"/>
  <c r="E106" i="11"/>
  <c r="L154" i="11"/>
  <c r="X113" i="9"/>
  <c r="Z113" i="11" s="1"/>
  <c r="S128" i="11"/>
  <c r="L129" i="11"/>
  <c r="T144" i="9"/>
  <c r="R185" i="11"/>
  <c r="X101" i="4"/>
  <c r="Y101" i="11" s="1"/>
  <c r="K84" i="11"/>
  <c r="X36" i="4"/>
  <c r="Y36" i="11" s="1"/>
  <c r="D124" i="11"/>
  <c r="K179" i="11"/>
  <c r="R167" i="11"/>
  <c r="V109" i="4"/>
  <c r="V110" i="4" s="1"/>
  <c r="AL125" i="4"/>
  <c r="AP123" i="4"/>
  <c r="AR123" i="11" s="1"/>
  <c r="K148" i="11"/>
  <c r="K145" i="11"/>
  <c r="K164" i="11"/>
  <c r="AY67" i="11"/>
  <c r="AL128" i="4"/>
  <c r="X177" i="4"/>
  <c r="Y177" i="11" s="1"/>
  <c r="AY41" i="11"/>
  <c r="AY53" i="11"/>
  <c r="D84" i="11"/>
  <c r="K36" i="11"/>
  <c r="AY79" i="11"/>
  <c r="AY32" i="11"/>
  <c r="K80" i="11"/>
  <c r="AY48" i="11"/>
  <c r="R91" i="11"/>
  <c r="AY27" i="11"/>
  <c r="AY192" i="11"/>
  <c r="K34" i="11"/>
  <c r="AY85" i="11"/>
  <c r="X112" i="4"/>
  <c r="Y112" i="11" s="1"/>
  <c r="D135" i="11"/>
  <c r="AY131" i="11"/>
  <c r="AN109" i="4"/>
  <c r="AP102" i="4"/>
  <c r="AR102" i="11" s="1"/>
  <c r="AY97" i="11"/>
  <c r="AP84" i="4"/>
  <c r="AR67" i="11"/>
  <c r="AY73" i="11"/>
  <c r="R100" i="11"/>
  <c r="U110" i="4"/>
  <c r="R84" i="11"/>
  <c r="AY51" i="11"/>
  <c r="V63" i="4"/>
  <c r="AY115" i="11"/>
  <c r="AP194" i="4"/>
  <c r="AR194" i="11" s="1"/>
  <c r="AY21" i="11"/>
  <c r="AY33" i="11"/>
  <c r="AY54" i="11"/>
  <c r="AY87" i="11"/>
  <c r="E82" i="11"/>
  <c r="E68" i="11"/>
  <c r="X64" i="9"/>
  <c r="Z64" i="11" s="1"/>
  <c r="Z61" i="11"/>
  <c r="X63" i="9"/>
  <c r="Z63" i="11" s="1"/>
  <c r="Z36" i="11"/>
  <c r="T154" i="4"/>
  <c r="G12" i="2"/>
  <c r="M12" i="2" s="1"/>
  <c r="AP64" i="9"/>
  <c r="AS61" i="11"/>
  <c r="AP171" i="9"/>
  <c r="AS171" i="11" s="1"/>
  <c r="AS165" i="11"/>
  <c r="AP63" i="9"/>
  <c r="AS63" i="11" s="1"/>
  <c r="AY179" i="11"/>
  <c r="AY30" i="11"/>
  <c r="AY34" i="11"/>
  <c r="AY47" i="11"/>
  <c r="AY198" i="11"/>
  <c r="AY190" i="11"/>
  <c r="AP61" i="4"/>
  <c r="AR176" i="11"/>
  <c r="AY147" i="11"/>
  <c r="AY163" i="11"/>
  <c r="AP207" i="4"/>
  <c r="AR207" i="11" s="1"/>
  <c r="AY52" i="11"/>
  <c r="AP216" i="4"/>
  <c r="AR216" i="11" s="1"/>
  <c r="AR214" i="11"/>
  <c r="AR202" i="11"/>
  <c r="AY60" i="11"/>
  <c r="AZ64" i="11"/>
  <c r="AZ44" i="11"/>
  <c r="S36" i="11"/>
  <c r="S61" i="11"/>
  <c r="AZ88" i="11"/>
  <c r="AZ86" i="11"/>
  <c r="AZ30" i="11"/>
  <c r="AZ112" i="11"/>
  <c r="R88" i="11"/>
  <c r="R85" i="11"/>
  <c r="AY45" i="11"/>
  <c r="AY49" i="11"/>
  <c r="AY214" i="11"/>
  <c r="AY35" i="11"/>
  <c r="AY57" i="11"/>
  <c r="AY158" i="11"/>
  <c r="AY155" i="11"/>
  <c r="AY177" i="11"/>
  <c r="AY24" i="11"/>
  <c r="AY42" i="11"/>
  <c r="AY78" i="11"/>
  <c r="AY188" i="11"/>
  <c r="AZ164" i="11"/>
  <c r="S213" i="11"/>
  <c r="Z15" i="5"/>
  <c r="AY50" i="11"/>
  <c r="L63" i="11"/>
  <c r="L64" i="11"/>
  <c r="L61" i="11"/>
  <c r="E64" i="11"/>
  <c r="E61" i="11"/>
  <c r="AN209" i="9"/>
  <c r="AN218" i="9" s="1"/>
  <c r="AP109" i="9"/>
  <c r="AS109" i="11" s="1"/>
  <c r="U82" i="4"/>
  <c r="X75" i="4"/>
  <c r="Y75" i="11" s="1"/>
  <c r="AY75" i="11"/>
  <c r="X216" i="9"/>
  <c r="Z212" i="11"/>
  <c r="X207" i="9"/>
  <c r="Z207" i="11" s="1"/>
  <c r="Z201" i="11"/>
  <c r="X109" i="9"/>
  <c r="Z109" i="11" s="1"/>
  <c r="S125" i="11"/>
  <c r="S110" i="11"/>
  <c r="AZ80" i="11"/>
  <c r="E207" i="11"/>
  <c r="E197" i="11"/>
  <c r="AZ102" i="11"/>
  <c r="S146" i="11"/>
  <c r="S145" i="11"/>
  <c r="S168" i="11"/>
  <c r="S139" i="11"/>
  <c r="S148" i="11"/>
  <c r="AL132" i="9"/>
  <c r="AP126" i="9"/>
  <c r="AS126" i="11" s="1"/>
  <c r="E145" i="11"/>
  <c r="L127" i="11"/>
  <c r="AZ94" i="11"/>
  <c r="AL149" i="9"/>
  <c r="AP145" i="9"/>
  <c r="X126" i="9"/>
  <c r="Z126" i="11" s="1"/>
  <c r="E139" i="11"/>
  <c r="E164" i="11"/>
  <c r="AZ203" i="11"/>
  <c r="E138" i="11"/>
  <c r="E154" i="11"/>
  <c r="L126" i="11"/>
  <c r="E148" i="11"/>
  <c r="AZ162" i="11"/>
  <c r="L70" i="11"/>
  <c r="E65" i="11"/>
  <c r="E113" i="11"/>
  <c r="E168" i="11"/>
  <c r="U65" i="9"/>
  <c r="U129" i="9"/>
  <c r="L110" i="11"/>
  <c r="E153" i="11"/>
  <c r="X153" i="9"/>
  <c r="Z153" i="11" s="1"/>
  <c r="U159" i="9"/>
  <c r="E193" i="11"/>
  <c r="X154" i="9"/>
  <c r="Z154" i="11" s="1"/>
  <c r="L153" i="11"/>
  <c r="X164" i="9"/>
  <c r="Z164" i="11" s="1"/>
  <c r="S70" i="11"/>
  <c r="T2" i="9"/>
  <c r="V129" i="9"/>
  <c r="V65" i="9"/>
  <c r="L193" i="11"/>
  <c r="X110" i="9"/>
  <c r="Z110" i="11" s="1"/>
  <c r="E110" i="11"/>
  <c r="E157" i="11"/>
  <c r="E146" i="11"/>
  <c r="E144" i="11"/>
  <c r="AL141" i="9"/>
  <c r="AP138" i="9"/>
  <c r="S154" i="11"/>
  <c r="AZ197" i="11"/>
  <c r="E170" i="11"/>
  <c r="AZ93" i="11"/>
  <c r="T65" i="9"/>
  <c r="T129" i="9"/>
  <c r="G5" i="2"/>
  <c r="S207" i="11"/>
  <c r="E128" i="11"/>
  <c r="W129" i="9"/>
  <c r="W65" i="9"/>
  <c r="L113" i="11"/>
  <c r="AY213" i="11"/>
  <c r="AY100" i="11"/>
  <c r="K70" i="11"/>
  <c r="W151" i="4"/>
  <c r="W161" i="4" s="1"/>
  <c r="W173" i="4" s="1"/>
  <c r="W196" i="4" s="1"/>
  <c r="W143" i="4"/>
  <c r="D140" i="11"/>
  <c r="AP113" i="4"/>
  <c r="AR113" i="11" s="1"/>
  <c r="D123" i="11"/>
  <c r="D102" i="11"/>
  <c r="AY102" i="11"/>
  <c r="K152" i="11"/>
  <c r="T128" i="4"/>
  <c r="T63" i="4"/>
  <c r="X61" i="4"/>
  <c r="X123" i="4"/>
  <c r="Y123" i="11" s="1"/>
  <c r="K146" i="11"/>
  <c r="D181" i="11"/>
  <c r="K201" i="11"/>
  <c r="U63" i="4"/>
  <c r="D80" i="11"/>
  <c r="AL109" i="4"/>
  <c r="AP101" i="4"/>
  <c r="AR101" i="11" s="1"/>
  <c r="D112" i="11"/>
  <c r="D122" i="11"/>
  <c r="R135" i="11"/>
  <c r="D179" i="11"/>
  <c r="D74" i="11"/>
  <c r="AY77" i="11"/>
  <c r="AY101" i="11"/>
  <c r="R104" i="11"/>
  <c r="AY104" i="11"/>
  <c r="V125" i="4"/>
  <c r="V126" i="4" s="1"/>
  <c r="AY169" i="11"/>
  <c r="X202" i="4"/>
  <c r="T207" i="4"/>
  <c r="X216" i="4"/>
  <c r="D166" i="11"/>
  <c r="D178" i="11"/>
  <c r="K197" i="11"/>
  <c r="R205" i="11"/>
  <c r="R17" i="11"/>
  <c r="V129" i="4"/>
  <c r="D99" i="11"/>
  <c r="K106" i="11"/>
  <c r="K120" i="11"/>
  <c r="AY55" i="11"/>
  <c r="W63" i="4"/>
  <c r="D175" i="11"/>
  <c r="K121" i="11"/>
  <c r="AM109" i="4"/>
  <c r="AP94" i="4"/>
  <c r="AR94" i="11" s="1"/>
  <c r="X151" i="4"/>
  <c r="X143" i="4"/>
  <c r="Y143" i="11" s="1"/>
  <c r="K165" i="11"/>
  <c r="AM63" i="4"/>
  <c r="AM128" i="4"/>
  <c r="AN63" i="4"/>
  <c r="AN128" i="4"/>
  <c r="AP82" i="4"/>
  <c r="AR82" i="11" s="1"/>
  <c r="V82" i="4"/>
  <c r="X81" i="4"/>
  <c r="Y81" i="11" s="1"/>
  <c r="R128" i="11"/>
  <c r="AL145" i="4"/>
  <c r="AL139" i="4"/>
  <c r="AP139" i="4" s="1"/>
  <c r="AR139" i="11" s="1"/>
  <c r="AL138" i="4"/>
  <c r="K71" i="11"/>
  <c r="AY72" i="11"/>
  <c r="X72" i="4"/>
  <c r="Y72" i="11" s="1"/>
  <c r="R112" i="11"/>
  <c r="AL129" i="4"/>
  <c r="AL65" i="4"/>
  <c r="K168" i="11"/>
  <c r="K139" i="11"/>
  <c r="K178" i="11"/>
  <c r="X121" i="4"/>
  <c r="R2" i="11"/>
  <c r="AY23" i="11"/>
  <c r="AY40" i="11"/>
  <c r="V113" i="4"/>
  <c r="V65" i="4"/>
  <c r="D93" i="11"/>
  <c r="AY189" i="11"/>
  <c r="D202" i="11"/>
  <c r="AY46" i="11"/>
  <c r="AY130" i="11"/>
  <c r="AY136" i="11"/>
  <c r="AP159" i="4"/>
  <c r="AR159" i="11" s="1"/>
  <c r="AY215" i="11"/>
  <c r="D96" i="11"/>
  <c r="K174" i="11"/>
  <c r="R3" i="11"/>
  <c r="AY22" i="11"/>
  <c r="AY28" i="11"/>
  <c r="AY76" i="11"/>
  <c r="R102" i="11"/>
  <c r="AY103" i="11"/>
  <c r="W113" i="4"/>
  <c r="AY206" i="11"/>
  <c r="T3" i="4"/>
  <c r="Y3" i="11" s="1"/>
  <c r="T17" i="4"/>
  <c r="Y17" i="11" s="1"/>
  <c r="AP36" i="4"/>
  <c r="AY58" i="11"/>
  <c r="D71" i="11"/>
  <c r="AY137" i="11"/>
  <c r="AY212" i="11"/>
  <c r="U141" i="4"/>
  <c r="X140" i="4"/>
  <c r="Y140" i="11" s="1"/>
  <c r="AY186" i="11"/>
  <c r="R186" i="11"/>
  <c r="AY204" i="11"/>
  <c r="K123" i="11"/>
  <c r="AP171" i="4"/>
  <c r="AR171" i="11" s="1"/>
  <c r="Z17" i="5"/>
  <c r="AV108" i="3"/>
  <c r="AV102" i="3"/>
  <c r="C37" i="11"/>
  <c r="C62" i="11"/>
  <c r="C66" i="11"/>
  <c r="C85" i="11"/>
  <c r="C86" i="11"/>
  <c r="C87" i="11"/>
  <c r="C117" i="11"/>
  <c r="C133" i="11"/>
  <c r="C142" i="11"/>
  <c r="C150" i="11"/>
  <c r="C160" i="11"/>
  <c r="C172" i="11"/>
  <c r="C195" i="11"/>
  <c r="C208" i="11"/>
  <c r="C210" i="11"/>
  <c r="C211" i="11"/>
  <c r="C217" i="11"/>
  <c r="C219" i="11"/>
  <c r="B23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1" i="11"/>
  <c r="B52" i="11"/>
  <c r="B53" i="11"/>
  <c r="B54" i="11"/>
  <c r="B55" i="11"/>
  <c r="B56" i="11"/>
  <c r="B57" i="11"/>
  <c r="B58" i="11"/>
  <c r="B59" i="11"/>
  <c r="B60" i="11"/>
  <c r="B62" i="11"/>
  <c r="B66" i="11"/>
  <c r="B67" i="11"/>
  <c r="B68" i="11"/>
  <c r="B70" i="11"/>
  <c r="B75" i="11"/>
  <c r="B77" i="11"/>
  <c r="B78" i="11"/>
  <c r="B79" i="11"/>
  <c r="B80" i="11"/>
  <c r="B81" i="11"/>
  <c r="B84" i="11"/>
  <c r="B85" i="11"/>
  <c r="B86" i="11"/>
  <c r="B87" i="11"/>
  <c r="B88" i="11"/>
  <c r="B91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12" i="11"/>
  <c r="B114" i="11"/>
  <c r="B115" i="11"/>
  <c r="B117" i="11"/>
  <c r="B118" i="11"/>
  <c r="B119" i="11"/>
  <c r="B120" i="11"/>
  <c r="B121" i="11"/>
  <c r="B122" i="11"/>
  <c r="B124" i="11"/>
  <c r="B130" i="11"/>
  <c r="B131" i="11"/>
  <c r="B133" i="11"/>
  <c r="B134" i="11"/>
  <c r="B135" i="11"/>
  <c r="B136" i="11"/>
  <c r="B137" i="11"/>
  <c r="B138" i="11"/>
  <c r="B139" i="11"/>
  <c r="B142" i="11"/>
  <c r="B143" i="11"/>
  <c r="B144" i="11"/>
  <c r="B145" i="11"/>
  <c r="B146" i="11"/>
  <c r="B147" i="11"/>
  <c r="B148" i="11"/>
  <c r="B149" i="11"/>
  <c r="B150" i="11"/>
  <c r="B151" i="11"/>
  <c r="B152" i="11"/>
  <c r="B155" i="11"/>
  <c r="B156" i="11"/>
  <c r="B157" i="11"/>
  <c r="B158" i="11"/>
  <c r="B160" i="11"/>
  <c r="B161" i="11"/>
  <c r="B162" i="11"/>
  <c r="B163" i="11"/>
  <c r="B164" i="11"/>
  <c r="B165" i="11"/>
  <c r="B166" i="11"/>
  <c r="B167" i="11"/>
  <c r="B168" i="11"/>
  <c r="B169" i="11"/>
  <c r="B172" i="11"/>
  <c r="B173" i="11"/>
  <c r="B176" i="11"/>
  <c r="B177" i="11"/>
  <c r="B178" i="11"/>
  <c r="B182" i="11"/>
  <c r="B183" i="11"/>
  <c r="B184" i="11"/>
  <c r="B185" i="11"/>
  <c r="B186" i="11"/>
  <c r="B187" i="11"/>
  <c r="B188" i="11"/>
  <c r="B189" i="11"/>
  <c r="B190" i="11"/>
  <c r="B191" i="11"/>
  <c r="B195" i="11"/>
  <c r="B196" i="11"/>
  <c r="B198" i="11"/>
  <c r="B202" i="11"/>
  <c r="B204" i="11"/>
  <c r="B206" i="11"/>
  <c r="B208" i="11"/>
  <c r="B210" i="11"/>
  <c r="B211" i="11"/>
  <c r="B212" i="11"/>
  <c r="B213" i="11"/>
  <c r="B214" i="11"/>
  <c r="B215" i="11"/>
  <c r="B216" i="11"/>
  <c r="B217" i="11"/>
  <c r="B219" i="11"/>
  <c r="B220" i="11"/>
  <c r="C20" i="11"/>
  <c r="B20" i="11"/>
  <c r="A220" i="11"/>
  <c r="X139" i="9" l="1"/>
  <c r="Z139" i="11" s="1"/>
  <c r="AZ139" i="11"/>
  <c r="X148" i="9"/>
  <c r="Z148" i="11" s="1"/>
  <c r="AM116" i="9"/>
  <c r="AM209" i="9" s="1"/>
  <c r="AM218" i="9" s="1"/>
  <c r="X138" i="9"/>
  <c r="X141" i="9" s="1"/>
  <c r="Z141" i="11" s="1"/>
  <c r="T141" i="9"/>
  <c r="AM132" i="9"/>
  <c r="T149" i="9"/>
  <c r="X144" i="9"/>
  <c r="X178" i="9"/>
  <c r="Z178" i="11" s="1"/>
  <c r="AZ178" i="11"/>
  <c r="X168" i="9"/>
  <c r="Z168" i="11" s="1"/>
  <c r="AZ168" i="11"/>
  <c r="AF2" i="9"/>
  <c r="Z2" i="11"/>
  <c r="L157" i="11"/>
  <c r="X128" i="4"/>
  <c r="Y128" i="11" s="1"/>
  <c r="AY112" i="11"/>
  <c r="AY4" i="11"/>
  <c r="AY3" i="11"/>
  <c r="AP128" i="4"/>
  <c r="AR128" i="11" s="1"/>
  <c r="D68" i="11"/>
  <c r="AY152" i="11"/>
  <c r="AY140" i="11"/>
  <c r="AY119" i="11"/>
  <c r="AY122" i="11"/>
  <c r="AY180" i="11"/>
  <c r="AY17" i="11"/>
  <c r="AY5" i="11"/>
  <c r="X110" i="4"/>
  <c r="Y110" i="11" s="1"/>
  <c r="D91" i="11"/>
  <c r="AY121" i="11"/>
  <c r="AY174" i="11"/>
  <c r="AV162" i="3"/>
  <c r="AV174" i="3"/>
  <c r="AV135" i="3"/>
  <c r="AV119" i="3"/>
  <c r="AV74" i="3"/>
  <c r="AR207" i="3"/>
  <c r="AV207" i="3"/>
  <c r="AS125" i="3"/>
  <c r="AV122" i="3"/>
  <c r="Z2" i="3"/>
  <c r="Q2" i="11"/>
  <c r="AV93" i="3"/>
  <c r="AV109" i="3" s="1"/>
  <c r="AR109" i="3"/>
  <c r="G11" i="2"/>
  <c r="M11" i="2" s="1"/>
  <c r="AZ91" i="11"/>
  <c r="W111" i="9"/>
  <c r="E156" i="11"/>
  <c r="V111" i="9"/>
  <c r="V127" i="9"/>
  <c r="S91" i="11"/>
  <c r="L149" i="11"/>
  <c r="L144" i="11"/>
  <c r="L194" i="11"/>
  <c r="L178" i="11"/>
  <c r="X118" i="9"/>
  <c r="Z91" i="11"/>
  <c r="AP118" i="9"/>
  <c r="AS91" i="11"/>
  <c r="E161" i="11"/>
  <c r="AZ113" i="11"/>
  <c r="W127" i="9"/>
  <c r="L91" i="11"/>
  <c r="U132" i="9"/>
  <c r="U209" i="9" s="1"/>
  <c r="U218" i="9" s="1"/>
  <c r="L141" i="11"/>
  <c r="L138" i="11"/>
  <c r="E125" i="11"/>
  <c r="E121" i="11"/>
  <c r="X65" i="9"/>
  <c r="Z65" i="11" s="1"/>
  <c r="U127" i="9"/>
  <c r="R146" i="11"/>
  <c r="R145" i="11"/>
  <c r="AL110" i="4"/>
  <c r="AL111" i="4"/>
  <c r="AL127" i="4"/>
  <c r="AP127" i="4" s="1"/>
  <c r="AR127" i="11" s="1"/>
  <c r="AL126" i="4"/>
  <c r="K109" i="11"/>
  <c r="K105" i="11"/>
  <c r="F28" i="2"/>
  <c r="K216" i="11"/>
  <c r="AP91" i="4"/>
  <c r="AR84" i="11"/>
  <c r="R118" i="11"/>
  <c r="X109" i="4"/>
  <c r="Y109" i="11" s="1"/>
  <c r="K141" i="11"/>
  <c r="K138" i="11"/>
  <c r="D118" i="11"/>
  <c r="D63" i="11"/>
  <c r="D36" i="11"/>
  <c r="F27" i="2"/>
  <c r="D216" i="11"/>
  <c r="K91" i="11"/>
  <c r="V111" i="4"/>
  <c r="V116" i="4" s="1"/>
  <c r="U127" i="4"/>
  <c r="U116" i="4"/>
  <c r="X113" i="4"/>
  <c r="Y113" i="11" s="1"/>
  <c r="X161" i="4"/>
  <c r="Y151" i="11"/>
  <c r="AP125" i="4"/>
  <c r="AR125" i="11" s="1"/>
  <c r="AN111" i="4"/>
  <c r="AN110" i="4"/>
  <c r="AN116" i="4" s="1"/>
  <c r="X63" i="4"/>
  <c r="Y63" i="11" s="1"/>
  <c r="AY84" i="11"/>
  <c r="AM110" i="4"/>
  <c r="AM111" i="4"/>
  <c r="V127" i="4"/>
  <c r="X207" i="4"/>
  <c r="Y207" i="11" s="1"/>
  <c r="Y202" i="11"/>
  <c r="D128" i="11"/>
  <c r="D207" i="11"/>
  <c r="D199" i="11"/>
  <c r="L82" i="11"/>
  <c r="L68" i="11"/>
  <c r="T111" i="9"/>
  <c r="T127" i="9"/>
  <c r="X64" i="4"/>
  <c r="Y61" i="11"/>
  <c r="U153" i="4"/>
  <c r="AS153" i="4" s="1"/>
  <c r="T178" i="4"/>
  <c r="AR178" i="4" s="1"/>
  <c r="T148" i="4"/>
  <c r="T146" i="4"/>
  <c r="T145" i="4"/>
  <c r="T144" i="4"/>
  <c r="AR144" i="4" s="1"/>
  <c r="T168" i="4"/>
  <c r="T139" i="4"/>
  <c r="T138" i="4"/>
  <c r="AR138" i="4" s="1"/>
  <c r="T164" i="4"/>
  <c r="AR164" i="4" s="1"/>
  <c r="AZ61" i="11"/>
  <c r="AP149" i="9"/>
  <c r="AS149" i="11" s="1"/>
  <c r="AS145" i="11"/>
  <c r="AP141" i="9"/>
  <c r="AS141" i="11" s="1"/>
  <c r="AS138" i="11"/>
  <c r="AP65" i="9"/>
  <c r="AS65" i="11" s="1"/>
  <c r="AS64" i="11"/>
  <c r="AY123" i="11"/>
  <c r="AP63" i="4"/>
  <c r="AR36" i="11"/>
  <c r="AP64" i="4"/>
  <c r="AR64" i="11" s="1"/>
  <c r="AR61" i="11"/>
  <c r="Z216" i="11"/>
  <c r="G30" i="2"/>
  <c r="Y216" i="11"/>
  <c r="F30" i="2"/>
  <c r="AZ63" i="11"/>
  <c r="AZ36" i="11"/>
  <c r="S216" i="11"/>
  <c r="G29" i="2"/>
  <c r="AZ125" i="11"/>
  <c r="AZ121" i="11"/>
  <c r="S65" i="11"/>
  <c r="S63" i="11"/>
  <c r="R125" i="11"/>
  <c r="R122" i="11"/>
  <c r="R63" i="11"/>
  <c r="R36" i="11"/>
  <c r="AY88" i="11"/>
  <c r="AY86" i="11"/>
  <c r="F11" i="2"/>
  <c r="R207" i="11"/>
  <c r="R198" i="11"/>
  <c r="R216" i="11"/>
  <c r="F29" i="2"/>
  <c r="F12" i="2"/>
  <c r="L12" i="2" s="1"/>
  <c r="AY29" i="11"/>
  <c r="AY64" i="11"/>
  <c r="AZ216" i="11"/>
  <c r="AZ212" i="11"/>
  <c r="R61" i="11"/>
  <c r="K63" i="11"/>
  <c r="K64" i="11"/>
  <c r="K61" i="11"/>
  <c r="D64" i="11"/>
  <c r="D61" i="11"/>
  <c r="L65" i="11"/>
  <c r="X149" i="9"/>
  <c r="Z149" i="11" s="1"/>
  <c r="Z144" i="11"/>
  <c r="X125" i="4"/>
  <c r="Y125" i="11" s="1"/>
  <c r="Y121" i="11"/>
  <c r="L111" i="11"/>
  <c r="AZ109" i="11"/>
  <c r="E194" i="11"/>
  <c r="E178" i="11"/>
  <c r="E149" i="11"/>
  <c r="E171" i="11"/>
  <c r="S126" i="11"/>
  <c r="AZ145" i="11"/>
  <c r="X129" i="9"/>
  <c r="Z129" i="11" s="1"/>
  <c r="AZ207" i="11"/>
  <c r="AZ146" i="11"/>
  <c r="AL116" i="9"/>
  <c r="AL209" i="9" s="1"/>
  <c r="AL218" i="9" s="1"/>
  <c r="AP110" i="9"/>
  <c r="AS110" i="11" s="1"/>
  <c r="AZ148" i="11"/>
  <c r="S129" i="11"/>
  <c r="E129" i="11"/>
  <c r="S71" i="11"/>
  <c r="AZ144" i="11"/>
  <c r="S153" i="11"/>
  <c r="S178" i="11"/>
  <c r="E126" i="11"/>
  <c r="AP111" i="9"/>
  <c r="AS111" i="11" s="1"/>
  <c r="AZ154" i="11"/>
  <c r="AZ128" i="11"/>
  <c r="S164" i="11"/>
  <c r="AP132" i="9"/>
  <c r="AS132" i="11" s="1"/>
  <c r="X127" i="9"/>
  <c r="E159" i="11"/>
  <c r="L132" i="11"/>
  <c r="S69" i="11"/>
  <c r="E141" i="11"/>
  <c r="S68" i="11"/>
  <c r="T70" i="9"/>
  <c r="X70" i="9" s="1"/>
  <c r="Z70" i="11" s="1"/>
  <c r="T69" i="9"/>
  <c r="X69" i="9" s="1"/>
  <c r="Z69" i="11" s="1"/>
  <c r="AL2" i="9"/>
  <c r="AZ2" i="11" s="1"/>
  <c r="T68" i="9"/>
  <c r="T71" i="9"/>
  <c r="X71" i="9" s="1"/>
  <c r="Z71" i="11" s="1"/>
  <c r="AP109" i="4"/>
  <c r="AR109" i="11" s="1"/>
  <c r="K125" i="11"/>
  <c r="K110" i="11"/>
  <c r="D82" i="11"/>
  <c r="D154" i="11"/>
  <c r="U129" i="4"/>
  <c r="U65" i="4"/>
  <c r="D153" i="11"/>
  <c r="D144" i="11"/>
  <c r="K157" i="11"/>
  <c r="R154" i="11"/>
  <c r="X154" i="4"/>
  <c r="Y154" i="11" s="1"/>
  <c r="AP126" i="4"/>
  <c r="AR126" i="11" s="1"/>
  <c r="AY181" i="11"/>
  <c r="AY216" i="11"/>
  <c r="K113" i="11"/>
  <c r="D113" i="11"/>
  <c r="T2" i="4"/>
  <c r="AN129" i="4"/>
  <c r="AN65" i="4"/>
  <c r="AN132" i="4"/>
  <c r="AM132" i="4"/>
  <c r="R109" i="11"/>
  <c r="D138" i="11"/>
  <c r="AP145" i="4"/>
  <c r="AL149" i="4"/>
  <c r="K154" i="11"/>
  <c r="R139" i="11"/>
  <c r="R168" i="11"/>
  <c r="D146" i="11"/>
  <c r="D109" i="11"/>
  <c r="AP138" i="4"/>
  <c r="AL141" i="4"/>
  <c r="T125" i="4"/>
  <c r="D157" i="11"/>
  <c r="K128" i="11"/>
  <c r="K126" i="11"/>
  <c r="D168" i="11"/>
  <c r="AM129" i="4"/>
  <c r="AM65" i="4"/>
  <c r="R126" i="11"/>
  <c r="AY162" i="11"/>
  <c r="D164" i="11"/>
  <c r="K153" i="11"/>
  <c r="D139" i="11"/>
  <c r="R113" i="11"/>
  <c r="R129" i="11"/>
  <c r="W129" i="4"/>
  <c r="W65" i="4"/>
  <c r="W127" i="4" s="1"/>
  <c r="K207" i="11"/>
  <c r="D170" i="11"/>
  <c r="AY135" i="11"/>
  <c r="T65" i="4"/>
  <c r="T111" i="4" s="1"/>
  <c r="T129" i="4"/>
  <c r="Z138" i="11" l="1"/>
  <c r="T132" i="9"/>
  <c r="T116" i="9"/>
  <c r="AZ141" i="11"/>
  <c r="W132" i="9"/>
  <c r="W209" i="9" s="1"/>
  <c r="W218" i="9" s="1"/>
  <c r="V116" i="9"/>
  <c r="W116" i="9"/>
  <c r="V132" i="9"/>
  <c r="V209" i="9" s="1"/>
  <c r="V218" i="9" s="1"/>
  <c r="AV153" i="4"/>
  <c r="AS159" i="4"/>
  <c r="AS209" i="4" s="1"/>
  <c r="AS218" i="4" s="1"/>
  <c r="AV164" i="4"/>
  <c r="AY164" i="11" s="1"/>
  <c r="AV138" i="4"/>
  <c r="X139" i="4"/>
  <c r="Y139" i="11" s="1"/>
  <c r="AR139" i="4"/>
  <c r="AV139" i="4" s="1"/>
  <c r="X168" i="4"/>
  <c r="Y168" i="11" s="1"/>
  <c r="AR168" i="4"/>
  <c r="AV168" i="4" s="1"/>
  <c r="AY168" i="11" s="1"/>
  <c r="AV144" i="4"/>
  <c r="X145" i="4"/>
  <c r="Y145" i="11" s="1"/>
  <c r="AR145" i="4"/>
  <c r="AV145" i="4" s="1"/>
  <c r="AY145" i="11" s="1"/>
  <c r="X146" i="4"/>
  <c r="Y146" i="11" s="1"/>
  <c r="AR146" i="4"/>
  <c r="AV146" i="4" s="1"/>
  <c r="AY146" i="11" s="1"/>
  <c r="X148" i="4"/>
  <c r="Y148" i="11" s="1"/>
  <c r="AR148" i="4"/>
  <c r="AV148" i="4" s="1"/>
  <c r="AY148" i="11" s="1"/>
  <c r="AV178" i="4"/>
  <c r="AF71" i="9"/>
  <c r="AJ71" i="9" s="1"/>
  <c r="AL71" i="11" s="1"/>
  <c r="AF70" i="9"/>
  <c r="AF69" i="9"/>
  <c r="AJ69" i="9" s="1"/>
  <c r="AL69" i="11" s="1"/>
  <c r="AF68" i="9"/>
  <c r="AR68" i="9" s="1"/>
  <c r="AM2" i="11"/>
  <c r="AL2" i="11"/>
  <c r="F5" i="2"/>
  <c r="AY125" i="11"/>
  <c r="AY93" i="11"/>
  <c r="AY109" i="11"/>
  <c r="D65" i="11"/>
  <c r="D156" i="11"/>
  <c r="AF2" i="4"/>
  <c r="Y2" i="11"/>
  <c r="AP129" i="4"/>
  <c r="AR129" i="11" s="1"/>
  <c r="D129" i="11"/>
  <c r="R110" i="11"/>
  <c r="V132" i="4"/>
  <c r="AY154" i="11"/>
  <c r="Z71" i="3"/>
  <c r="AD71" i="3" s="1"/>
  <c r="Z69" i="3"/>
  <c r="AD69" i="3" s="1"/>
  <c r="Z70" i="3"/>
  <c r="AD70" i="3" s="1"/>
  <c r="Z68" i="3"/>
  <c r="X2" i="11"/>
  <c r="AF2" i="3"/>
  <c r="AL2" i="3"/>
  <c r="AR2" i="3" s="1"/>
  <c r="AX2" i="11" s="1"/>
  <c r="R71" i="11"/>
  <c r="G21" i="2"/>
  <c r="E196" i="11"/>
  <c r="E173" i="11"/>
  <c r="S118" i="11"/>
  <c r="AP134" i="9"/>
  <c r="AS118" i="11"/>
  <c r="S116" i="11"/>
  <c r="X134" i="9"/>
  <c r="Z118" i="11"/>
  <c r="L118" i="11"/>
  <c r="X111" i="9"/>
  <c r="X116" i="9" s="1"/>
  <c r="Z116" i="11" s="1"/>
  <c r="AZ118" i="11"/>
  <c r="AY128" i="11"/>
  <c r="K118" i="11"/>
  <c r="AP118" i="4"/>
  <c r="AR91" i="11"/>
  <c r="R134" i="11"/>
  <c r="R143" i="11"/>
  <c r="AN209" i="4"/>
  <c r="AN218" i="4" s="1"/>
  <c r="V209" i="4"/>
  <c r="V218" i="4" s="1"/>
  <c r="AL132" i="4"/>
  <c r="X173" i="4"/>
  <c r="Y161" i="11"/>
  <c r="D125" i="11"/>
  <c r="D121" i="11"/>
  <c r="K82" i="11"/>
  <c r="K68" i="11"/>
  <c r="D134" i="11"/>
  <c r="D143" i="11"/>
  <c r="K149" i="11"/>
  <c r="K144" i="11"/>
  <c r="D194" i="11"/>
  <c r="D193" i="11"/>
  <c r="W111" i="4"/>
  <c r="X111" i="4" s="1"/>
  <c r="AY91" i="11"/>
  <c r="L171" i="11"/>
  <c r="L170" i="11"/>
  <c r="L159" i="11"/>
  <c r="L156" i="11"/>
  <c r="L11" i="2"/>
  <c r="AZ65" i="11"/>
  <c r="Y64" i="11"/>
  <c r="X65" i="4"/>
  <c r="Y65" i="11" s="1"/>
  <c r="AP149" i="4"/>
  <c r="AR149" i="11" s="1"/>
  <c r="AR145" i="11"/>
  <c r="AP141" i="4"/>
  <c r="AR141" i="11" s="1"/>
  <c r="AR138" i="11"/>
  <c r="AY61" i="11"/>
  <c r="AP65" i="4"/>
  <c r="AR65" i="11" s="1"/>
  <c r="AR63" i="11"/>
  <c r="G16" i="2"/>
  <c r="AY207" i="11"/>
  <c r="F21" i="2" s="1"/>
  <c r="AY197" i="11"/>
  <c r="AY63" i="11"/>
  <c r="AY36" i="11"/>
  <c r="S149" i="11"/>
  <c r="S144" i="11"/>
  <c r="S141" i="11"/>
  <c r="S138" i="11"/>
  <c r="R64" i="11"/>
  <c r="R65" i="11"/>
  <c r="K65" i="11"/>
  <c r="S111" i="11"/>
  <c r="L116" i="11"/>
  <c r="E116" i="11"/>
  <c r="E111" i="11"/>
  <c r="X132" i="9"/>
  <c r="Z132" i="11" s="1"/>
  <c r="Z127" i="11"/>
  <c r="T127" i="4"/>
  <c r="X127" i="4" s="1"/>
  <c r="Y127" i="11" s="1"/>
  <c r="T126" i="4"/>
  <c r="X126" i="4" s="1"/>
  <c r="Y126" i="11" s="1"/>
  <c r="T170" i="9"/>
  <c r="T157" i="9"/>
  <c r="T156" i="9"/>
  <c r="X68" i="9"/>
  <c r="T82" i="9"/>
  <c r="AZ126" i="11"/>
  <c r="S157" i="11"/>
  <c r="S82" i="11"/>
  <c r="AZ149" i="11"/>
  <c r="AZ129" i="11"/>
  <c r="AZ153" i="11"/>
  <c r="AZ110" i="11"/>
  <c r="AP116" i="9"/>
  <c r="AY139" i="11"/>
  <c r="U132" i="4"/>
  <c r="AM116" i="4"/>
  <c r="AM209" i="4" s="1"/>
  <c r="AM218" i="4" s="1"/>
  <c r="AP111" i="4"/>
  <c r="AR111" i="11" s="1"/>
  <c r="R153" i="11"/>
  <c r="X129" i="4"/>
  <c r="Y129" i="11" s="1"/>
  <c r="T149" i="4"/>
  <c r="X144" i="4"/>
  <c r="D111" i="11"/>
  <c r="R144" i="11"/>
  <c r="D141" i="11"/>
  <c r="X138" i="4"/>
  <c r="T141" i="4"/>
  <c r="R164" i="11"/>
  <c r="X164" i="4"/>
  <c r="Y164" i="11" s="1"/>
  <c r="T116" i="4"/>
  <c r="R178" i="11"/>
  <c r="D110" i="11"/>
  <c r="D149" i="11"/>
  <c r="R148" i="11"/>
  <c r="AL116" i="4"/>
  <c r="AP110" i="4"/>
  <c r="AR110" i="11" s="1"/>
  <c r="W132" i="4"/>
  <c r="R70" i="11"/>
  <c r="X178" i="4"/>
  <c r="Y178" i="11" s="1"/>
  <c r="D159" i="11"/>
  <c r="D171" i="11"/>
  <c r="R68" i="11"/>
  <c r="T68" i="4"/>
  <c r="T70" i="4"/>
  <c r="T71" i="4"/>
  <c r="X71" i="4" s="1"/>
  <c r="Y71" i="11" s="1"/>
  <c r="AL2" i="4"/>
  <c r="AY2" i="11" s="1"/>
  <c r="U159" i="4"/>
  <c r="X153" i="4"/>
  <c r="Y153" i="11" s="1"/>
  <c r="AY113" i="11"/>
  <c r="R69" i="11"/>
  <c r="AR82" i="9" l="1"/>
  <c r="AV68" i="9"/>
  <c r="AV82" i="9" s="1"/>
  <c r="AZ138" i="11"/>
  <c r="Z111" i="11"/>
  <c r="AR149" i="4"/>
  <c r="AV149" i="4"/>
  <c r="AV141" i="4"/>
  <c r="AR68" i="4"/>
  <c r="T193" i="4"/>
  <c r="AR141" i="4"/>
  <c r="AF170" i="9"/>
  <c r="AR170" i="9" s="1"/>
  <c r="AF157" i="9"/>
  <c r="AJ68" i="9"/>
  <c r="AF156" i="9"/>
  <c r="AR156" i="9" s="1"/>
  <c r="AF82" i="9"/>
  <c r="AF222" i="9" s="1"/>
  <c r="AJ70" i="9"/>
  <c r="AL70" i="11" s="1"/>
  <c r="AZ70" i="11"/>
  <c r="AZ71" i="11"/>
  <c r="X157" i="9"/>
  <c r="Z157" i="11" s="1"/>
  <c r="AY129" i="11"/>
  <c r="X70" i="4"/>
  <c r="Y70" i="11" s="1"/>
  <c r="F16" i="2"/>
  <c r="AF71" i="4"/>
  <c r="AJ71" i="4" s="1"/>
  <c r="AK71" i="11" s="1"/>
  <c r="AF70" i="4"/>
  <c r="AJ70" i="4" s="1"/>
  <c r="AK70" i="11" s="1"/>
  <c r="AF69" i="4"/>
  <c r="AJ69" i="4" s="1"/>
  <c r="AK69" i="11" s="1"/>
  <c r="AF68" i="4"/>
  <c r="AK2" i="11"/>
  <c r="R157" i="11"/>
  <c r="X69" i="4"/>
  <c r="Y69" i="11" s="1"/>
  <c r="AY127" i="11"/>
  <c r="K127" i="11"/>
  <c r="AP132" i="4"/>
  <c r="AR132" i="11" s="1"/>
  <c r="AL209" i="4"/>
  <c r="AL218" i="4" s="1"/>
  <c r="Z193" i="3"/>
  <c r="Z170" i="3"/>
  <c r="Z156" i="3"/>
  <c r="AD68" i="3"/>
  <c r="AD82" i="3" s="1"/>
  <c r="Z82" i="3"/>
  <c r="Z157" i="3"/>
  <c r="AD157" i="3" s="1"/>
  <c r="AJ2" i="11"/>
  <c r="AF70" i="3"/>
  <c r="AJ70" i="3" s="1"/>
  <c r="AJ70" i="11" s="1"/>
  <c r="AF69" i="3"/>
  <c r="AJ69" i="3" s="1"/>
  <c r="AJ69" i="11" s="1"/>
  <c r="AF68" i="3"/>
  <c r="AF71" i="3"/>
  <c r="AJ71" i="3" s="1"/>
  <c r="AJ71" i="11" s="1"/>
  <c r="L134" i="11"/>
  <c r="L143" i="11"/>
  <c r="X143" i="9"/>
  <c r="Z143" i="11" s="1"/>
  <c r="Z134" i="11"/>
  <c r="X151" i="9"/>
  <c r="AZ143" i="11"/>
  <c r="AZ134" i="11"/>
  <c r="L218" i="11"/>
  <c r="AP151" i="9"/>
  <c r="AS134" i="11"/>
  <c r="AP143" i="9"/>
  <c r="AS143" i="11" s="1"/>
  <c r="S134" i="11"/>
  <c r="S143" i="11"/>
  <c r="K116" i="11"/>
  <c r="AY118" i="11"/>
  <c r="W116" i="4"/>
  <c r="W209" i="4" s="1"/>
  <c r="W218" i="4" s="1"/>
  <c r="K171" i="11"/>
  <c r="K170" i="11"/>
  <c r="AP134" i="4"/>
  <c r="AR118" i="11"/>
  <c r="R151" i="11"/>
  <c r="K194" i="11"/>
  <c r="K193" i="11"/>
  <c r="K159" i="11"/>
  <c r="K156" i="11"/>
  <c r="X196" i="4"/>
  <c r="Y196" i="11" s="1"/>
  <c r="Y173" i="11"/>
  <c r="D151" i="11"/>
  <c r="K134" i="11"/>
  <c r="K143" i="11"/>
  <c r="R127" i="11"/>
  <c r="X82" i="9"/>
  <c r="Z82" i="11" s="1"/>
  <c r="Z68" i="11"/>
  <c r="X116" i="4"/>
  <c r="Y116" i="11" s="1"/>
  <c r="Y111" i="11"/>
  <c r="X149" i="4"/>
  <c r="Y149" i="11" s="1"/>
  <c r="Y144" i="11"/>
  <c r="X141" i="4"/>
  <c r="Y141" i="11" s="1"/>
  <c r="Y138" i="11"/>
  <c r="G18" i="2"/>
  <c r="AP209" i="9"/>
  <c r="AS116" i="11"/>
  <c r="AY65" i="11"/>
  <c r="R141" i="11"/>
  <c r="R138" i="11"/>
  <c r="S171" i="11"/>
  <c r="S170" i="11"/>
  <c r="S159" i="11"/>
  <c r="S156" i="11"/>
  <c r="K111" i="11"/>
  <c r="K132" i="11"/>
  <c r="K129" i="11"/>
  <c r="S132" i="11"/>
  <c r="S127" i="11"/>
  <c r="E127" i="11"/>
  <c r="S194" i="11"/>
  <c r="S193" i="11"/>
  <c r="R116" i="11"/>
  <c r="R111" i="11"/>
  <c r="X193" i="9"/>
  <c r="T194" i="9"/>
  <c r="X156" i="9"/>
  <c r="T159" i="9"/>
  <c r="X170" i="9"/>
  <c r="T171" i="9"/>
  <c r="AP116" i="4"/>
  <c r="R149" i="11"/>
  <c r="D116" i="11"/>
  <c r="D127" i="11"/>
  <c r="AY110" i="11"/>
  <c r="T156" i="4"/>
  <c r="T157" i="4"/>
  <c r="X68" i="4"/>
  <c r="T170" i="4"/>
  <c r="T82" i="4"/>
  <c r="AY178" i="11"/>
  <c r="X132" i="4"/>
  <c r="Y132" i="11" s="1"/>
  <c r="R82" i="11"/>
  <c r="T132" i="4"/>
  <c r="U209" i="4"/>
  <c r="U218" i="4" s="1"/>
  <c r="AV170" i="9" l="1"/>
  <c r="AV171" i="9" s="1"/>
  <c r="AR171" i="9"/>
  <c r="AJ157" i="9"/>
  <c r="AL157" i="11" s="1"/>
  <c r="AR157" i="9"/>
  <c r="AV157" i="9" s="1"/>
  <c r="AV156" i="9"/>
  <c r="AV159" i="9" s="1"/>
  <c r="AR159" i="9"/>
  <c r="AZ116" i="11"/>
  <c r="AZ111" i="11"/>
  <c r="AZ132" i="11"/>
  <c r="AZ127" i="11"/>
  <c r="X157" i="4"/>
  <c r="Y157" i="11" s="1"/>
  <c r="AV68" i="4"/>
  <c r="AV82" i="4" s="1"/>
  <c r="AR82" i="4"/>
  <c r="T194" i="4"/>
  <c r="AJ82" i="9"/>
  <c r="AL82" i="11" s="1"/>
  <c r="AL68" i="11"/>
  <c r="AZ69" i="11"/>
  <c r="AJ170" i="9"/>
  <c r="AF171" i="9"/>
  <c r="AJ156" i="9"/>
  <c r="AF159" i="9"/>
  <c r="AZ157" i="11"/>
  <c r="AY69" i="11"/>
  <c r="AY70" i="11"/>
  <c r="R132" i="11"/>
  <c r="AY116" i="11"/>
  <c r="AY153" i="11"/>
  <c r="AF193" i="4"/>
  <c r="AR193" i="4" s="1"/>
  <c r="AF156" i="4"/>
  <c r="AR156" i="4" s="1"/>
  <c r="AV156" i="4" s="1"/>
  <c r="AF170" i="4"/>
  <c r="AR170" i="4" s="1"/>
  <c r="AJ68" i="4"/>
  <c r="AF82" i="4"/>
  <c r="AF157" i="4"/>
  <c r="AJ157" i="4" s="1"/>
  <c r="AK157" i="11" s="1"/>
  <c r="AR71" i="3"/>
  <c r="AV71" i="3" s="1"/>
  <c r="AD170" i="3"/>
  <c r="AD171" i="3" s="1"/>
  <c r="Z171" i="3"/>
  <c r="AD193" i="3"/>
  <c r="AD194" i="3" s="1"/>
  <c r="Z194" i="3"/>
  <c r="AR70" i="3"/>
  <c r="AV70" i="3" s="1"/>
  <c r="AD156" i="3"/>
  <c r="AD159" i="3" s="1"/>
  <c r="Z159" i="3"/>
  <c r="AR69" i="3"/>
  <c r="AV69" i="3" s="1"/>
  <c r="AF156" i="3"/>
  <c r="AJ156" i="3" s="1"/>
  <c r="AF170" i="3"/>
  <c r="AF82" i="3"/>
  <c r="AJ68" i="3"/>
  <c r="AF157" i="3"/>
  <c r="AF193" i="3"/>
  <c r="AY71" i="11"/>
  <c r="X161" i="9"/>
  <c r="Z151" i="11"/>
  <c r="L209" i="11"/>
  <c r="S151" i="11"/>
  <c r="L151" i="11"/>
  <c r="AP161" i="9"/>
  <c r="AS151" i="11"/>
  <c r="AZ151" i="11"/>
  <c r="R161" i="11"/>
  <c r="K151" i="11"/>
  <c r="AP151" i="4"/>
  <c r="AR134" i="11"/>
  <c r="AP143" i="4"/>
  <c r="AR143" i="11" s="1"/>
  <c r="D161" i="11"/>
  <c r="AY134" i="11"/>
  <c r="AY143" i="11"/>
  <c r="X159" i="9"/>
  <c r="Z159" i="11" s="1"/>
  <c r="Z156" i="11"/>
  <c r="X171" i="9"/>
  <c r="Z171" i="11" s="1"/>
  <c r="Z170" i="11"/>
  <c r="X82" i="4"/>
  <c r="Y82" i="11" s="1"/>
  <c r="Y68" i="11"/>
  <c r="S209" i="11"/>
  <c r="AP218" i="9"/>
  <c r="AS218" i="11" s="1"/>
  <c r="AS209" i="11"/>
  <c r="AP209" i="4"/>
  <c r="AR116" i="11"/>
  <c r="AY141" i="11"/>
  <c r="AY138" i="11"/>
  <c r="AY149" i="11"/>
  <c r="AY144" i="11"/>
  <c r="R159" i="11"/>
  <c r="R156" i="11"/>
  <c r="R194" i="11"/>
  <c r="R193" i="11"/>
  <c r="R171" i="11"/>
  <c r="R170" i="11"/>
  <c r="AZ82" i="11"/>
  <c r="AZ68" i="11"/>
  <c r="K218" i="11"/>
  <c r="E132" i="11"/>
  <c r="X194" i="9"/>
  <c r="Z194" i="11" s="1"/>
  <c r="Z193" i="11"/>
  <c r="AZ193" i="11"/>
  <c r="T209" i="9"/>
  <c r="T218" i="9" s="1"/>
  <c r="D132" i="11"/>
  <c r="D126" i="11"/>
  <c r="X156" i="4"/>
  <c r="T159" i="4"/>
  <c r="X170" i="4"/>
  <c r="T171" i="4"/>
  <c r="X193" i="4"/>
  <c r="G17" i="2" l="1"/>
  <c r="AV193" i="4"/>
  <c r="AV194" i="4" s="1"/>
  <c r="AR194" i="4"/>
  <c r="AV170" i="4"/>
  <c r="AV171" i="4" s="1"/>
  <c r="AR171" i="4"/>
  <c r="AR157" i="4"/>
  <c r="AR209" i="9"/>
  <c r="AR218" i="9" s="1"/>
  <c r="AV209" i="9"/>
  <c r="AV218" i="9" s="1"/>
  <c r="AJ171" i="9"/>
  <c r="AL170" i="11"/>
  <c r="BG193" i="11"/>
  <c r="AL156" i="11"/>
  <c r="AJ159" i="9"/>
  <c r="AL159" i="11" s="1"/>
  <c r="AF209" i="9"/>
  <c r="AF218" i="9" s="1"/>
  <c r="AY111" i="11"/>
  <c r="AJ170" i="4"/>
  <c r="AF171" i="4"/>
  <c r="AJ156" i="4"/>
  <c r="AF159" i="4"/>
  <c r="AJ193" i="4"/>
  <c r="AF194" i="4"/>
  <c r="K209" i="11"/>
  <c r="AJ82" i="4"/>
  <c r="AK82" i="11" s="1"/>
  <c r="AK68" i="11"/>
  <c r="Z209" i="3"/>
  <c r="Z218" i="3" s="1"/>
  <c r="AD209" i="3"/>
  <c r="AD218" i="3" s="1"/>
  <c r="AF171" i="3"/>
  <c r="AJ170" i="3"/>
  <c r="AJ156" i="11"/>
  <c r="AJ193" i="3"/>
  <c r="AF194" i="3"/>
  <c r="AF159" i="3"/>
  <c r="AJ157" i="3"/>
  <c r="AJ157" i="11" s="1"/>
  <c r="AJ68" i="11"/>
  <c r="AJ82" i="3"/>
  <c r="G10" i="2"/>
  <c r="M10" i="2" s="1"/>
  <c r="AZ161" i="11"/>
  <c r="L161" i="11"/>
  <c r="AP173" i="9"/>
  <c r="AS161" i="11"/>
  <c r="X209" i="9"/>
  <c r="X218" i="9" s="1"/>
  <c r="Z218" i="11" s="1"/>
  <c r="S161" i="11"/>
  <c r="X173" i="9"/>
  <c r="Z161" i="11"/>
  <c r="K161" i="11"/>
  <c r="D196" i="11"/>
  <c r="D173" i="11"/>
  <c r="AP161" i="4"/>
  <c r="AR151" i="11"/>
  <c r="AY151" i="11"/>
  <c r="R196" i="11"/>
  <c r="R173" i="11"/>
  <c r="S218" i="11"/>
  <c r="X159" i="4"/>
  <c r="Y159" i="11" s="1"/>
  <c r="Y156" i="11"/>
  <c r="X171" i="4"/>
  <c r="Y171" i="11" s="1"/>
  <c r="Y170" i="11"/>
  <c r="AP218" i="4"/>
  <c r="AR218" i="11" s="1"/>
  <c r="AR209" i="11"/>
  <c r="AY68" i="11"/>
  <c r="F10" i="2" s="1"/>
  <c r="R218" i="11"/>
  <c r="F18" i="2"/>
  <c r="E218" i="11"/>
  <c r="E209" i="11"/>
  <c r="AZ171" i="11"/>
  <c r="AZ170" i="11"/>
  <c r="AW193" i="9"/>
  <c r="D209" i="11"/>
  <c r="AY132" i="11"/>
  <c r="F17" i="2" s="1"/>
  <c r="AY126" i="11"/>
  <c r="X194" i="4"/>
  <c r="Y194" i="11" s="1"/>
  <c r="Y193" i="11"/>
  <c r="T209" i="4"/>
  <c r="T218" i="4" s="1"/>
  <c r="AV157" i="4" l="1"/>
  <c r="AR159" i="4"/>
  <c r="AR209" i="4" s="1"/>
  <c r="AR218" i="4" s="1"/>
  <c r="AL171" i="11"/>
  <c r="AJ209" i="9"/>
  <c r="AZ159" i="11"/>
  <c r="G19" i="2" s="1"/>
  <c r="AZ156" i="11"/>
  <c r="AK170" i="11"/>
  <c r="AJ171" i="4"/>
  <c r="AK171" i="11" s="1"/>
  <c r="AK156" i="11"/>
  <c r="AJ159" i="4"/>
  <c r="AK159" i="11" s="1"/>
  <c r="AF209" i="4"/>
  <c r="AF218" i="4" s="1"/>
  <c r="AY82" i="11"/>
  <c r="AJ194" i="4"/>
  <c r="AK193" i="11"/>
  <c r="AJ159" i="3"/>
  <c r="AJ159" i="11" s="1"/>
  <c r="AJ82" i="11"/>
  <c r="AF209" i="3"/>
  <c r="AF218" i="3" s="1"/>
  <c r="AJ193" i="11"/>
  <c r="AJ194" i="3"/>
  <c r="AJ170" i="11"/>
  <c r="AJ171" i="3"/>
  <c r="AJ171" i="11" s="1"/>
  <c r="L10" i="2"/>
  <c r="X196" i="9"/>
  <c r="Z196" i="11" s="1"/>
  <c r="Z173" i="11"/>
  <c r="S196" i="11"/>
  <c r="S173" i="11"/>
  <c r="AP196" i="9"/>
  <c r="AS196" i="11" s="1"/>
  <c r="AS173" i="11"/>
  <c r="L196" i="11"/>
  <c r="L173" i="11"/>
  <c r="Z209" i="11"/>
  <c r="AZ196" i="11"/>
  <c r="AZ173" i="11"/>
  <c r="AY161" i="11"/>
  <c r="AP173" i="4"/>
  <c r="AR161" i="11"/>
  <c r="K196" i="11"/>
  <c r="K173" i="11"/>
  <c r="X209" i="4"/>
  <c r="Y209" i="11" s="1"/>
  <c r="R209" i="11"/>
  <c r="AZ194" i="11"/>
  <c r="D218" i="11"/>
  <c r="AX220" i="11"/>
  <c r="AP220" i="3"/>
  <c r="AQ220" i="11" s="1"/>
  <c r="AN220" i="3"/>
  <c r="AM220" i="3"/>
  <c r="AL220" i="3"/>
  <c r="X220" i="11"/>
  <c r="Q220" i="11"/>
  <c r="J220" i="11"/>
  <c r="C220" i="11"/>
  <c r="A220" i="3"/>
  <c r="AN216" i="3"/>
  <c r="AM216" i="3"/>
  <c r="AL216" i="3"/>
  <c r="AP215" i="3"/>
  <c r="AQ215" i="11" s="1"/>
  <c r="X215" i="11"/>
  <c r="Q215" i="11"/>
  <c r="J215" i="11"/>
  <c r="C215" i="11"/>
  <c r="AP214" i="3"/>
  <c r="AQ214" i="11" s="1"/>
  <c r="X214" i="11"/>
  <c r="Q214" i="11"/>
  <c r="J214" i="11"/>
  <c r="AX213" i="11"/>
  <c r="AP213" i="3"/>
  <c r="AQ213" i="11" s="1"/>
  <c r="X213" i="11"/>
  <c r="Q213" i="11"/>
  <c r="J213" i="11"/>
  <c r="C213" i="11"/>
  <c r="AP212" i="3"/>
  <c r="AQ212" i="11" s="1"/>
  <c r="X212" i="11"/>
  <c r="Q212" i="11"/>
  <c r="J212" i="11"/>
  <c r="C212" i="11"/>
  <c r="AN207" i="3"/>
  <c r="AM207" i="3"/>
  <c r="AL207" i="3"/>
  <c r="AP206" i="3"/>
  <c r="AQ206" i="11" s="1"/>
  <c r="X206" i="11"/>
  <c r="Q206" i="11"/>
  <c r="J206" i="11"/>
  <c r="AP205" i="3"/>
  <c r="AQ205" i="11" s="1"/>
  <c r="X205" i="11"/>
  <c r="Q205" i="11"/>
  <c r="J205" i="11"/>
  <c r="C205" i="11"/>
  <c r="AX204" i="11"/>
  <c r="AP204" i="3"/>
  <c r="AQ204" i="11" s="1"/>
  <c r="X204" i="11"/>
  <c r="J204" i="11"/>
  <c r="C204" i="11"/>
  <c r="X203" i="11"/>
  <c r="Q203" i="11"/>
  <c r="J203" i="11"/>
  <c r="C203" i="11"/>
  <c r="AP202" i="3"/>
  <c r="AQ202" i="11" s="1"/>
  <c r="X202" i="11"/>
  <c r="C202" i="11"/>
  <c r="AP201" i="3"/>
  <c r="AQ201" i="11" s="1"/>
  <c r="X201" i="11"/>
  <c r="Q201" i="11"/>
  <c r="J201" i="11"/>
  <c r="C201" i="11"/>
  <c r="AP200" i="3"/>
  <c r="AQ200" i="11" s="1"/>
  <c r="X200" i="11"/>
  <c r="Q200" i="11"/>
  <c r="J200" i="11"/>
  <c r="C200" i="11"/>
  <c r="AP199" i="3"/>
  <c r="AQ199" i="11" s="1"/>
  <c r="X199" i="11"/>
  <c r="Q199" i="11"/>
  <c r="J199" i="11"/>
  <c r="C199" i="11"/>
  <c r="AX198" i="11"/>
  <c r="AP198" i="3"/>
  <c r="AQ198" i="11" s="1"/>
  <c r="X198" i="11"/>
  <c r="Q198" i="11"/>
  <c r="J198" i="11"/>
  <c r="C198" i="11"/>
  <c r="AP197" i="3"/>
  <c r="AQ197" i="11" s="1"/>
  <c r="X197" i="11"/>
  <c r="Q197" i="11"/>
  <c r="J197" i="11"/>
  <c r="C197" i="11"/>
  <c r="AN194" i="3"/>
  <c r="AM194" i="3"/>
  <c r="AL194" i="3"/>
  <c r="AP193" i="3"/>
  <c r="AQ193" i="11" s="1"/>
  <c r="AP192" i="3"/>
  <c r="AQ192" i="11" s="1"/>
  <c r="X192" i="11"/>
  <c r="Q192" i="11"/>
  <c r="J192" i="11"/>
  <c r="C192" i="11"/>
  <c r="AP191" i="3"/>
  <c r="AQ191" i="11" s="1"/>
  <c r="X191" i="11"/>
  <c r="Q191" i="11"/>
  <c r="J191" i="11"/>
  <c r="C191" i="11"/>
  <c r="AP190" i="3"/>
  <c r="AQ190" i="11" s="1"/>
  <c r="X190" i="11"/>
  <c r="Q190" i="11"/>
  <c r="J190" i="11"/>
  <c r="C190" i="11"/>
  <c r="AP189" i="3"/>
  <c r="AQ189" i="11" s="1"/>
  <c r="X189" i="11"/>
  <c r="Q189" i="11"/>
  <c r="J189" i="11"/>
  <c r="C189" i="11"/>
  <c r="AP188" i="3"/>
  <c r="AQ188" i="11" s="1"/>
  <c r="X188" i="11"/>
  <c r="J188" i="11"/>
  <c r="C188" i="11"/>
  <c r="AP187" i="3"/>
  <c r="AQ187" i="11" s="1"/>
  <c r="X187" i="11"/>
  <c r="Q187" i="11"/>
  <c r="J187" i="11"/>
  <c r="C187" i="11"/>
  <c r="AP186" i="3"/>
  <c r="AQ186" i="11" s="1"/>
  <c r="X186" i="11"/>
  <c r="Q186" i="11"/>
  <c r="J186" i="11"/>
  <c r="C186" i="11"/>
  <c r="AP185" i="3"/>
  <c r="AQ185" i="11" s="1"/>
  <c r="X185" i="11"/>
  <c r="Q185" i="11"/>
  <c r="J185" i="11"/>
  <c r="C185" i="11"/>
  <c r="AP184" i="3"/>
  <c r="AQ184" i="11" s="1"/>
  <c r="X184" i="11"/>
  <c r="Q184" i="11"/>
  <c r="J184" i="11"/>
  <c r="C184" i="11"/>
  <c r="AP183" i="3"/>
  <c r="AQ183" i="11" s="1"/>
  <c r="X183" i="11"/>
  <c r="Q183" i="11"/>
  <c r="J183" i="11"/>
  <c r="C183" i="11"/>
  <c r="AP182" i="3"/>
  <c r="AQ182" i="11" s="1"/>
  <c r="X182" i="11"/>
  <c r="Q182" i="11"/>
  <c r="J182" i="11"/>
  <c r="C182" i="11"/>
  <c r="AP181" i="3"/>
  <c r="AQ181" i="11" s="1"/>
  <c r="J181" i="11"/>
  <c r="C181" i="11"/>
  <c r="AP180" i="3"/>
  <c r="AQ180" i="11" s="1"/>
  <c r="AP179" i="3"/>
  <c r="AQ179" i="11" s="1"/>
  <c r="X179" i="11"/>
  <c r="Q179" i="11"/>
  <c r="J179" i="11"/>
  <c r="C179" i="11"/>
  <c r="AP178" i="3"/>
  <c r="AQ178" i="11" s="1"/>
  <c r="AP177" i="3"/>
  <c r="AQ177" i="11" s="1"/>
  <c r="X177" i="11"/>
  <c r="Q177" i="11"/>
  <c r="J177" i="11"/>
  <c r="C177" i="11"/>
  <c r="AP176" i="3"/>
  <c r="AQ176" i="11" s="1"/>
  <c r="X176" i="11"/>
  <c r="Q176" i="11"/>
  <c r="J176" i="11"/>
  <c r="C176" i="11"/>
  <c r="AP175" i="3"/>
  <c r="AQ175" i="11" s="1"/>
  <c r="X175" i="11"/>
  <c r="Q175" i="11"/>
  <c r="J175" i="11"/>
  <c r="C175" i="11"/>
  <c r="AP174" i="3"/>
  <c r="AQ174" i="11" s="1"/>
  <c r="X174" i="11"/>
  <c r="AN171" i="3"/>
  <c r="AM171" i="3"/>
  <c r="AL171" i="3"/>
  <c r="AP170" i="3"/>
  <c r="AQ170" i="11" s="1"/>
  <c r="AP169" i="3"/>
  <c r="AQ169" i="11" s="1"/>
  <c r="X169" i="11"/>
  <c r="Q169" i="11"/>
  <c r="J169" i="11"/>
  <c r="C169" i="11"/>
  <c r="AP168" i="3"/>
  <c r="AQ168" i="11" s="1"/>
  <c r="AP167" i="3"/>
  <c r="AQ167" i="11" s="1"/>
  <c r="X167" i="11"/>
  <c r="Q167" i="11"/>
  <c r="J167" i="11"/>
  <c r="C167" i="11"/>
  <c r="AP166" i="3"/>
  <c r="AQ166" i="11" s="1"/>
  <c r="X166" i="11"/>
  <c r="Q166" i="11"/>
  <c r="J166" i="11"/>
  <c r="C166" i="11"/>
  <c r="AP165" i="3"/>
  <c r="AQ165" i="11" s="1"/>
  <c r="X165" i="11"/>
  <c r="Q165" i="11"/>
  <c r="C165" i="11"/>
  <c r="AP164" i="3"/>
  <c r="AQ164" i="11" s="1"/>
  <c r="AX163" i="11"/>
  <c r="AP163" i="3"/>
  <c r="X163" i="11"/>
  <c r="Q163" i="11"/>
  <c r="J163" i="11"/>
  <c r="C163" i="11"/>
  <c r="AP162" i="3"/>
  <c r="AQ162" i="11" s="1"/>
  <c r="X162" i="11"/>
  <c r="Q162" i="11"/>
  <c r="J162" i="11"/>
  <c r="C162" i="11"/>
  <c r="AN159" i="3"/>
  <c r="AM159" i="3"/>
  <c r="AL159" i="3"/>
  <c r="AP158" i="3"/>
  <c r="AQ158" i="11" s="1"/>
  <c r="X158" i="11"/>
  <c r="Q158" i="11"/>
  <c r="J158" i="11"/>
  <c r="C158" i="11"/>
  <c r="AP157" i="3"/>
  <c r="AQ157" i="11" s="1"/>
  <c r="AP156" i="3"/>
  <c r="AQ156" i="11" s="1"/>
  <c r="AP155" i="3"/>
  <c r="AQ155" i="11" s="1"/>
  <c r="X155" i="11"/>
  <c r="Q155" i="11"/>
  <c r="J155" i="11"/>
  <c r="C155" i="11"/>
  <c r="AP154" i="3"/>
  <c r="AQ154" i="11" s="1"/>
  <c r="AP153" i="3"/>
  <c r="AQ153" i="11" s="1"/>
  <c r="AP152" i="3"/>
  <c r="AQ152" i="11" s="1"/>
  <c r="X152" i="11"/>
  <c r="C152" i="11"/>
  <c r="AN149" i="3"/>
  <c r="AM149" i="3"/>
  <c r="AP147" i="3"/>
  <c r="AQ147" i="11" s="1"/>
  <c r="X147" i="11"/>
  <c r="Q147" i="11"/>
  <c r="J147" i="11"/>
  <c r="C147" i="11"/>
  <c r="AP144" i="3"/>
  <c r="AQ144" i="11" s="1"/>
  <c r="AN141" i="3"/>
  <c r="AM140" i="3"/>
  <c r="X140" i="11"/>
  <c r="J140" i="11"/>
  <c r="C140" i="11"/>
  <c r="AP137" i="3"/>
  <c r="AQ137" i="11" s="1"/>
  <c r="X137" i="11"/>
  <c r="J137" i="11"/>
  <c r="C137" i="11"/>
  <c r="AP136" i="3"/>
  <c r="AQ136" i="11" s="1"/>
  <c r="X136" i="11"/>
  <c r="Q136" i="11"/>
  <c r="J136" i="11"/>
  <c r="C136" i="11"/>
  <c r="AP135" i="3"/>
  <c r="AQ135" i="11" s="1"/>
  <c r="X135" i="11"/>
  <c r="Q135" i="11"/>
  <c r="J135" i="11"/>
  <c r="AP131" i="3"/>
  <c r="AQ131" i="11" s="1"/>
  <c r="X131" i="11"/>
  <c r="Q131" i="11"/>
  <c r="J131" i="11"/>
  <c r="C131" i="11"/>
  <c r="AP130" i="3"/>
  <c r="AQ130" i="11" s="1"/>
  <c r="X130" i="11"/>
  <c r="Q130" i="11"/>
  <c r="J130" i="11"/>
  <c r="C130" i="11"/>
  <c r="AN125" i="3"/>
  <c r="AM125" i="3"/>
  <c r="AP124" i="3"/>
  <c r="AQ124" i="11" s="1"/>
  <c r="J124" i="11"/>
  <c r="AL125" i="3"/>
  <c r="AP122" i="3"/>
  <c r="AQ122" i="11" s="1"/>
  <c r="Q122" i="11"/>
  <c r="AP121" i="3"/>
  <c r="AQ121" i="11" s="1"/>
  <c r="AP120" i="3"/>
  <c r="AQ120" i="11" s="1"/>
  <c r="X120" i="11"/>
  <c r="Q120" i="11"/>
  <c r="J120" i="11"/>
  <c r="C120" i="11"/>
  <c r="AP119" i="3"/>
  <c r="AQ119" i="11" s="1"/>
  <c r="X119" i="11"/>
  <c r="J119" i="11"/>
  <c r="AP115" i="3"/>
  <c r="AQ115" i="11" s="1"/>
  <c r="X115" i="11"/>
  <c r="Q115" i="11"/>
  <c r="J115" i="11"/>
  <c r="C115" i="11"/>
  <c r="AP114" i="3"/>
  <c r="AQ114" i="11" s="1"/>
  <c r="X114" i="11"/>
  <c r="Q114" i="11"/>
  <c r="J114" i="11"/>
  <c r="C114" i="11"/>
  <c r="AN112" i="3"/>
  <c r="AM112" i="3"/>
  <c r="AL112" i="3"/>
  <c r="X112" i="11"/>
  <c r="AN109" i="3"/>
  <c r="AL109" i="3"/>
  <c r="AP108" i="3"/>
  <c r="AQ108" i="11" s="1"/>
  <c r="X108" i="11"/>
  <c r="Q108" i="11"/>
  <c r="J108" i="11"/>
  <c r="AP107" i="3"/>
  <c r="AQ107" i="11" s="1"/>
  <c r="X107" i="11"/>
  <c r="Q107" i="11"/>
  <c r="J107" i="11"/>
  <c r="C107" i="11"/>
  <c r="AP106" i="3"/>
  <c r="AQ106" i="11" s="1"/>
  <c r="X106" i="11"/>
  <c r="Q106" i="11"/>
  <c r="J106" i="11"/>
  <c r="C106" i="11"/>
  <c r="AP105" i="3"/>
  <c r="AQ105" i="11" s="1"/>
  <c r="X105" i="11"/>
  <c r="Q105" i="11"/>
  <c r="J105" i="11"/>
  <c r="C105" i="11"/>
  <c r="AP104" i="3"/>
  <c r="AQ104" i="11" s="1"/>
  <c r="X104" i="11"/>
  <c r="Q104" i="11"/>
  <c r="J104" i="11"/>
  <c r="C104" i="11"/>
  <c r="AP103" i="3"/>
  <c r="AQ103" i="11" s="1"/>
  <c r="X103" i="11"/>
  <c r="Q103" i="11"/>
  <c r="J103" i="11"/>
  <c r="C103" i="11"/>
  <c r="AP102" i="3"/>
  <c r="AQ102" i="11" s="1"/>
  <c r="X102" i="11"/>
  <c r="J102" i="11"/>
  <c r="AP101" i="3"/>
  <c r="AQ101" i="11" s="1"/>
  <c r="Q101" i="11"/>
  <c r="J101" i="11"/>
  <c r="AP100" i="3"/>
  <c r="AQ100" i="11" s="1"/>
  <c r="X100" i="11"/>
  <c r="Q100" i="11"/>
  <c r="J100" i="11"/>
  <c r="C100" i="11"/>
  <c r="AP99" i="3"/>
  <c r="AQ99" i="11" s="1"/>
  <c r="X99" i="11"/>
  <c r="Q99" i="11"/>
  <c r="J99" i="11"/>
  <c r="AP98" i="3"/>
  <c r="AQ98" i="11" s="1"/>
  <c r="X98" i="11"/>
  <c r="Q98" i="11"/>
  <c r="J98" i="11"/>
  <c r="C98" i="11"/>
  <c r="AP97" i="3"/>
  <c r="AQ97" i="11" s="1"/>
  <c r="X97" i="11"/>
  <c r="Q97" i="11"/>
  <c r="J97" i="11"/>
  <c r="C97" i="11"/>
  <c r="AP96" i="3"/>
  <c r="AQ96" i="11" s="1"/>
  <c r="X96" i="11"/>
  <c r="Q96" i="11"/>
  <c r="C96" i="11"/>
  <c r="AP95" i="3"/>
  <c r="AQ95" i="11" s="1"/>
  <c r="X95" i="11"/>
  <c r="Q95" i="11"/>
  <c r="AP94" i="3"/>
  <c r="AQ94" i="11" s="1"/>
  <c r="X94" i="11"/>
  <c r="Q94" i="11"/>
  <c r="C94" i="11"/>
  <c r="AP93" i="3"/>
  <c r="AQ93" i="11" s="1"/>
  <c r="X93" i="11"/>
  <c r="Q93" i="11"/>
  <c r="J93" i="11"/>
  <c r="C93" i="11"/>
  <c r="AP88" i="3"/>
  <c r="AQ88" i="11" s="1"/>
  <c r="AN88" i="3"/>
  <c r="AM88" i="3"/>
  <c r="AL88" i="3"/>
  <c r="X88" i="11"/>
  <c r="J88" i="11"/>
  <c r="C88" i="11"/>
  <c r="Q87" i="11"/>
  <c r="Q86" i="11"/>
  <c r="Q85" i="11"/>
  <c r="AN82" i="3"/>
  <c r="AM82" i="3"/>
  <c r="AL82" i="3"/>
  <c r="AP81" i="3"/>
  <c r="AQ81" i="11" s="1"/>
  <c r="X81" i="11"/>
  <c r="Q81" i="11"/>
  <c r="C81" i="11"/>
  <c r="AP80" i="3"/>
  <c r="AQ80" i="11" s="1"/>
  <c r="X80" i="11"/>
  <c r="Q80" i="11"/>
  <c r="J80" i="11"/>
  <c r="AP79" i="3"/>
  <c r="AQ79" i="11" s="1"/>
  <c r="X79" i="11"/>
  <c r="Q79" i="11"/>
  <c r="J79" i="11"/>
  <c r="C79" i="11"/>
  <c r="AP78" i="3"/>
  <c r="AQ78" i="11" s="1"/>
  <c r="X78" i="11"/>
  <c r="Q78" i="11"/>
  <c r="J78" i="11"/>
  <c r="C78" i="11"/>
  <c r="AP77" i="3"/>
  <c r="AQ77" i="11" s="1"/>
  <c r="X77" i="11"/>
  <c r="Q77" i="11"/>
  <c r="J77" i="11"/>
  <c r="C77" i="11"/>
  <c r="AP76" i="3"/>
  <c r="AQ76" i="11" s="1"/>
  <c r="X76" i="11"/>
  <c r="Q76" i="11"/>
  <c r="J76" i="11"/>
  <c r="C76" i="11"/>
  <c r="AP75" i="3"/>
  <c r="AQ75" i="11" s="1"/>
  <c r="X75" i="11"/>
  <c r="Q75" i="11"/>
  <c r="J75" i="11"/>
  <c r="C75" i="11"/>
  <c r="AP74" i="3"/>
  <c r="AQ74" i="11" s="1"/>
  <c r="J74" i="11"/>
  <c r="AP73" i="3"/>
  <c r="AQ73" i="11" s="1"/>
  <c r="X73" i="11"/>
  <c r="Q73" i="11"/>
  <c r="J73" i="11"/>
  <c r="C73" i="11"/>
  <c r="AP72" i="3"/>
  <c r="AQ72" i="11" s="1"/>
  <c r="X72" i="11"/>
  <c r="Q72" i="11"/>
  <c r="J72" i="11"/>
  <c r="C72" i="11"/>
  <c r="AP71" i="3"/>
  <c r="AQ71" i="11" s="1"/>
  <c r="X71" i="11"/>
  <c r="Q71" i="11"/>
  <c r="AP70" i="3"/>
  <c r="AQ70" i="11" s="1"/>
  <c r="X70" i="11"/>
  <c r="Q70" i="11"/>
  <c r="J70" i="11"/>
  <c r="AP69" i="3"/>
  <c r="AQ69" i="11" s="1"/>
  <c r="X69" i="11"/>
  <c r="Q69" i="11"/>
  <c r="J69" i="11"/>
  <c r="AP68" i="3"/>
  <c r="AQ68" i="11" s="1"/>
  <c r="AP67" i="3"/>
  <c r="AN61" i="3"/>
  <c r="AN64" i="3" s="1"/>
  <c r="AN113" i="3" s="1"/>
  <c r="AM61" i="3"/>
  <c r="AM64" i="3" s="1"/>
  <c r="AM113" i="3" s="1"/>
  <c r="AL61" i="3"/>
  <c r="AL64" i="3" s="1"/>
  <c r="AL113" i="3" s="1"/>
  <c r="AP60" i="3"/>
  <c r="AQ60" i="11" s="1"/>
  <c r="X60" i="11"/>
  <c r="Q60" i="11"/>
  <c r="J60" i="11"/>
  <c r="C60" i="11"/>
  <c r="AP59" i="3"/>
  <c r="AQ59" i="11" s="1"/>
  <c r="X59" i="11"/>
  <c r="Q59" i="11"/>
  <c r="J59" i="11"/>
  <c r="C59" i="11"/>
  <c r="AP58" i="3"/>
  <c r="AQ58" i="11" s="1"/>
  <c r="X58" i="11"/>
  <c r="Q58" i="11"/>
  <c r="J58" i="11"/>
  <c r="C58" i="11"/>
  <c r="AP57" i="3"/>
  <c r="AQ57" i="11" s="1"/>
  <c r="X57" i="11"/>
  <c r="Q57" i="11"/>
  <c r="J57" i="11"/>
  <c r="C57" i="11"/>
  <c r="AP56" i="3"/>
  <c r="AQ56" i="11" s="1"/>
  <c r="X56" i="11"/>
  <c r="Q56" i="11"/>
  <c r="J56" i="11"/>
  <c r="C56" i="11"/>
  <c r="AP55" i="3"/>
  <c r="AQ55" i="11" s="1"/>
  <c r="X55" i="11"/>
  <c r="Q55" i="11"/>
  <c r="J55" i="11"/>
  <c r="C55" i="11"/>
  <c r="AP54" i="3"/>
  <c r="AQ54" i="11" s="1"/>
  <c r="X54" i="11"/>
  <c r="Q54" i="11"/>
  <c r="J54" i="11"/>
  <c r="C54" i="11"/>
  <c r="AP53" i="3"/>
  <c r="AQ53" i="11" s="1"/>
  <c r="X53" i="11"/>
  <c r="Q53" i="11"/>
  <c r="J53" i="11"/>
  <c r="C53" i="11"/>
  <c r="AP52" i="3"/>
  <c r="AQ52" i="11" s="1"/>
  <c r="X52" i="11"/>
  <c r="Q52" i="11"/>
  <c r="J52" i="11"/>
  <c r="C52" i="11"/>
  <c r="AP51" i="3"/>
  <c r="AQ51" i="11" s="1"/>
  <c r="X51" i="11"/>
  <c r="Q51" i="11"/>
  <c r="J51" i="11"/>
  <c r="C51" i="11"/>
  <c r="AP50" i="3"/>
  <c r="AQ50" i="11" s="1"/>
  <c r="X50" i="11"/>
  <c r="Q50" i="11"/>
  <c r="J50" i="11"/>
  <c r="C50" i="11"/>
  <c r="AP49" i="3"/>
  <c r="AQ49" i="11" s="1"/>
  <c r="X49" i="11"/>
  <c r="Q49" i="11"/>
  <c r="J49" i="11"/>
  <c r="C49" i="11"/>
  <c r="AP48" i="3"/>
  <c r="AQ48" i="11" s="1"/>
  <c r="X48" i="11"/>
  <c r="Q48" i="11"/>
  <c r="J48" i="11"/>
  <c r="C48" i="11"/>
  <c r="AP47" i="3"/>
  <c r="AQ47" i="11" s="1"/>
  <c r="X47" i="11"/>
  <c r="Q47" i="11"/>
  <c r="J47" i="11"/>
  <c r="C47" i="11"/>
  <c r="AP46" i="3"/>
  <c r="AQ46" i="11" s="1"/>
  <c r="X46" i="11"/>
  <c r="Q46" i="11"/>
  <c r="J46" i="11"/>
  <c r="C46" i="11"/>
  <c r="AP45" i="3"/>
  <c r="AQ45" i="11" s="1"/>
  <c r="X45" i="11"/>
  <c r="Q45" i="11"/>
  <c r="J45" i="11"/>
  <c r="C45" i="11"/>
  <c r="AP44" i="3"/>
  <c r="AQ44" i="11" s="1"/>
  <c r="X44" i="11"/>
  <c r="Q44" i="11"/>
  <c r="J44" i="11"/>
  <c r="C44" i="11"/>
  <c r="AP43" i="3"/>
  <c r="AQ43" i="11" s="1"/>
  <c r="X43" i="11"/>
  <c r="Q43" i="11"/>
  <c r="J43" i="11"/>
  <c r="AP42" i="3"/>
  <c r="AQ42" i="11" s="1"/>
  <c r="X42" i="11"/>
  <c r="Q42" i="11"/>
  <c r="J42" i="11"/>
  <c r="C42" i="11"/>
  <c r="AP41" i="3"/>
  <c r="AQ41" i="11" s="1"/>
  <c r="X41" i="11"/>
  <c r="Q41" i="11"/>
  <c r="J41" i="11"/>
  <c r="C41" i="11"/>
  <c r="AP40" i="3"/>
  <c r="AQ40" i="11" s="1"/>
  <c r="X40" i="11"/>
  <c r="Q40" i="11"/>
  <c r="J40" i="11"/>
  <c r="C40" i="11"/>
  <c r="AP39" i="3"/>
  <c r="AQ39" i="11" s="1"/>
  <c r="Q39" i="11"/>
  <c r="J39" i="11"/>
  <c r="C39" i="11"/>
  <c r="AX38" i="11"/>
  <c r="AP38" i="3"/>
  <c r="AQ38" i="11" s="1"/>
  <c r="X38" i="11"/>
  <c r="Q38" i="11"/>
  <c r="J38" i="11"/>
  <c r="C38" i="11"/>
  <c r="AN36" i="3"/>
  <c r="AN128" i="3" s="1"/>
  <c r="AM36" i="3"/>
  <c r="AM128" i="3" s="1"/>
  <c r="AL36" i="3"/>
  <c r="AL128" i="3" s="1"/>
  <c r="AP35" i="3"/>
  <c r="AQ35" i="11" s="1"/>
  <c r="X35" i="11"/>
  <c r="Q35" i="11"/>
  <c r="J35" i="11"/>
  <c r="C35" i="11"/>
  <c r="AP34" i="3"/>
  <c r="AQ34" i="11" s="1"/>
  <c r="X34" i="11"/>
  <c r="Q34" i="11"/>
  <c r="J34" i="11"/>
  <c r="C34" i="11"/>
  <c r="AP33" i="3"/>
  <c r="AQ33" i="11" s="1"/>
  <c r="X33" i="11"/>
  <c r="Q33" i="11"/>
  <c r="J33" i="11"/>
  <c r="C33" i="11"/>
  <c r="AP32" i="3"/>
  <c r="AQ32" i="11" s="1"/>
  <c r="X32" i="11"/>
  <c r="Q32" i="11"/>
  <c r="J32" i="11"/>
  <c r="C32" i="11"/>
  <c r="AP31" i="3"/>
  <c r="AQ31" i="11" s="1"/>
  <c r="X31" i="11"/>
  <c r="Q31" i="11"/>
  <c r="J31" i="11"/>
  <c r="C31" i="11"/>
  <c r="AP30" i="3"/>
  <c r="AQ30" i="11" s="1"/>
  <c r="X30" i="11"/>
  <c r="Q30" i="11"/>
  <c r="J30" i="11"/>
  <c r="C30" i="11"/>
  <c r="AP29" i="3"/>
  <c r="AQ29" i="11" s="1"/>
  <c r="X29" i="11"/>
  <c r="Q29" i="11"/>
  <c r="J29" i="11"/>
  <c r="C29" i="11"/>
  <c r="AP28" i="3"/>
  <c r="AQ28" i="11" s="1"/>
  <c r="X28" i="11"/>
  <c r="Q28" i="11"/>
  <c r="J28" i="11"/>
  <c r="C28" i="11"/>
  <c r="AP27" i="3"/>
  <c r="AQ27" i="11" s="1"/>
  <c r="X27" i="11"/>
  <c r="Q27" i="11"/>
  <c r="J27" i="11"/>
  <c r="C27" i="11"/>
  <c r="AX26" i="11"/>
  <c r="AP26" i="3"/>
  <c r="AQ26" i="11" s="1"/>
  <c r="X26" i="11"/>
  <c r="Q26" i="11"/>
  <c r="J26" i="11"/>
  <c r="C26" i="11"/>
  <c r="AP25" i="3"/>
  <c r="AQ25" i="11" s="1"/>
  <c r="X25" i="11"/>
  <c r="Q25" i="11"/>
  <c r="J25" i="11"/>
  <c r="C25" i="11"/>
  <c r="AP24" i="3"/>
  <c r="AQ24" i="11" s="1"/>
  <c r="X24" i="11"/>
  <c r="Q24" i="11"/>
  <c r="J24" i="11"/>
  <c r="C24" i="11"/>
  <c r="AP23" i="3"/>
  <c r="AQ23" i="11" s="1"/>
  <c r="X23" i="11"/>
  <c r="Q23" i="11"/>
  <c r="J23" i="11"/>
  <c r="C23" i="11"/>
  <c r="AP22" i="3"/>
  <c r="AQ22" i="11" s="1"/>
  <c r="X22" i="11"/>
  <c r="Q22" i="11"/>
  <c r="J22" i="11"/>
  <c r="C22" i="11"/>
  <c r="AP21" i="3"/>
  <c r="AQ21" i="11" s="1"/>
  <c r="X21" i="11"/>
  <c r="Q21" i="11"/>
  <c r="J21" i="11"/>
  <c r="C21" i="11"/>
  <c r="AL17" i="3"/>
  <c r="J17" i="11"/>
  <c r="C17" i="11"/>
  <c r="AL3" i="3"/>
  <c r="J3" i="11"/>
  <c r="C3" i="11"/>
  <c r="E35" i="2"/>
  <c r="F35" i="2" s="1"/>
  <c r="G35" i="2" s="1"/>
  <c r="H35" i="2" s="1"/>
  <c r="H31" i="2"/>
  <c r="G31" i="2"/>
  <c r="F31" i="2"/>
  <c r="H22" i="2"/>
  <c r="H13" i="2"/>
  <c r="G13" i="2"/>
  <c r="F13" i="2"/>
  <c r="H7" i="2"/>
  <c r="G7" i="2"/>
  <c r="F7" i="2"/>
  <c r="H6" i="2"/>
  <c r="G6" i="2"/>
  <c r="F6" i="2"/>
  <c r="X74" i="1"/>
  <c r="W74" i="11" s="1"/>
  <c r="F74" i="1"/>
  <c r="B74" i="11" s="1"/>
  <c r="J111" i="1"/>
  <c r="D111" i="1"/>
  <c r="V180" i="1"/>
  <c r="P194" i="1"/>
  <c r="AA128" i="1"/>
  <c r="Z128" i="1"/>
  <c r="AA112" i="1"/>
  <c r="Z112" i="1"/>
  <c r="AF213" i="1"/>
  <c r="AG213" i="1"/>
  <c r="AH213" i="1"/>
  <c r="AH216" i="1" s="1"/>
  <c r="AI213" i="1"/>
  <c r="AF214" i="1"/>
  <c r="AJ214" i="1" s="1"/>
  <c r="AW214" i="11" s="1"/>
  <c r="AG214" i="1"/>
  <c r="AG216" i="1" s="1"/>
  <c r="AH214" i="1"/>
  <c r="AI214" i="1"/>
  <c r="AF215" i="1"/>
  <c r="AJ215" i="1" s="1"/>
  <c r="AG215" i="1"/>
  <c r="AH215" i="1"/>
  <c r="AI215" i="1"/>
  <c r="AG212" i="1"/>
  <c r="AH212" i="1"/>
  <c r="AI212" i="1"/>
  <c r="AF212" i="1"/>
  <c r="AF198" i="1"/>
  <c r="AG198" i="1"/>
  <c r="AH198" i="1"/>
  <c r="AI198" i="1"/>
  <c r="AF199" i="1"/>
  <c r="AJ199" i="1" s="1"/>
  <c r="AW199" i="11" s="1"/>
  <c r="AG199" i="1"/>
  <c r="AH199" i="1"/>
  <c r="AH207" i="1" s="1"/>
  <c r="AI199" i="1"/>
  <c r="AF200" i="1"/>
  <c r="AJ200" i="1" s="1"/>
  <c r="AW200" i="11" s="1"/>
  <c r="AG200" i="1"/>
  <c r="AG207" i="1" s="1"/>
  <c r="AH200" i="1"/>
  <c r="AI200" i="1"/>
  <c r="AF201" i="1"/>
  <c r="AG201" i="1"/>
  <c r="AJ201" i="1" s="1"/>
  <c r="AW201" i="11" s="1"/>
  <c r="AH201" i="1"/>
  <c r="AI201" i="1"/>
  <c r="AF202" i="1"/>
  <c r="AG202" i="1"/>
  <c r="AH202" i="1"/>
  <c r="AI202" i="1"/>
  <c r="AF203" i="1"/>
  <c r="AG203" i="1"/>
  <c r="AH203" i="1"/>
  <c r="AI203" i="1"/>
  <c r="AF204" i="1"/>
  <c r="AG204" i="1"/>
  <c r="AH204" i="1"/>
  <c r="AI204" i="1"/>
  <c r="AF205" i="1"/>
  <c r="AJ205" i="1" s="1"/>
  <c r="AW205" i="11" s="1"/>
  <c r="AG205" i="1"/>
  <c r="AH205" i="1"/>
  <c r="AI205" i="1"/>
  <c r="AF206" i="1"/>
  <c r="AJ206" i="1" s="1"/>
  <c r="AW206" i="11" s="1"/>
  <c r="AG206" i="1"/>
  <c r="AH206" i="1"/>
  <c r="AI206" i="1"/>
  <c r="AG197" i="1"/>
  <c r="AH197" i="1"/>
  <c r="AI197" i="1"/>
  <c r="AF197" i="1"/>
  <c r="AJ197" i="1" s="1"/>
  <c r="AW197" i="11" s="1"/>
  <c r="AF175" i="1"/>
  <c r="AG175" i="1"/>
  <c r="AH175" i="1"/>
  <c r="AI175" i="1"/>
  <c r="AI194" i="1" s="1"/>
  <c r="AF176" i="1"/>
  <c r="AG176" i="1"/>
  <c r="AG194" i="1" s="1"/>
  <c r="AH176" i="1"/>
  <c r="AI176" i="1"/>
  <c r="AF177" i="1"/>
  <c r="AG177" i="1"/>
  <c r="AH177" i="1"/>
  <c r="AI177" i="1"/>
  <c r="AJ177" i="1" s="1"/>
  <c r="AG178" i="1"/>
  <c r="AH178" i="1"/>
  <c r="AI178" i="1"/>
  <c r="AF179" i="1"/>
  <c r="AJ179" i="1" s="1"/>
  <c r="AW179" i="11" s="1"/>
  <c r="AG179" i="1"/>
  <c r="AH179" i="1"/>
  <c r="AI179" i="1"/>
  <c r="AF180" i="1"/>
  <c r="AG180" i="1"/>
  <c r="AH180" i="1"/>
  <c r="AI180" i="1"/>
  <c r="AF181" i="1"/>
  <c r="AG181" i="1"/>
  <c r="AI181" i="1"/>
  <c r="AF182" i="1"/>
  <c r="AG182" i="1"/>
  <c r="AH182" i="1"/>
  <c r="AJ182" i="1" s="1"/>
  <c r="AI182" i="1"/>
  <c r="AF183" i="1"/>
  <c r="AJ183" i="1" s="1"/>
  <c r="AG183" i="1"/>
  <c r="AH183" i="1"/>
  <c r="AI183" i="1"/>
  <c r="AF184" i="1"/>
  <c r="AG184" i="1"/>
  <c r="AH184" i="1"/>
  <c r="AI184" i="1"/>
  <c r="AF185" i="1"/>
  <c r="AJ185" i="1" s="1"/>
  <c r="AG185" i="1"/>
  <c r="AH185" i="1"/>
  <c r="AI185" i="1"/>
  <c r="AF186" i="1"/>
  <c r="AJ186" i="1" s="1"/>
  <c r="AG186" i="1"/>
  <c r="AH186" i="1"/>
  <c r="AI186" i="1"/>
  <c r="AF187" i="1"/>
  <c r="AG187" i="1"/>
  <c r="AJ187" i="1" s="1"/>
  <c r="AH187" i="1"/>
  <c r="AI187" i="1"/>
  <c r="AF188" i="1"/>
  <c r="AG188" i="1"/>
  <c r="AH188" i="1"/>
  <c r="AI188" i="1"/>
  <c r="AF189" i="1"/>
  <c r="AG189" i="1"/>
  <c r="AH189" i="1"/>
  <c r="AI189" i="1"/>
  <c r="AJ189" i="1" s="1"/>
  <c r="AF190" i="1"/>
  <c r="AG190" i="1"/>
  <c r="AH190" i="1"/>
  <c r="AI190" i="1"/>
  <c r="AF191" i="1"/>
  <c r="AG191" i="1"/>
  <c r="AH191" i="1"/>
  <c r="AI191" i="1"/>
  <c r="AF192" i="1"/>
  <c r="AG192" i="1"/>
  <c r="AH192" i="1"/>
  <c r="AI192" i="1"/>
  <c r="AF193" i="1"/>
  <c r="AJ193" i="1" s="1"/>
  <c r="AW193" i="11" s="1"/>
  <c r="AG193" i="1"/>
  <c r="AH193" i="1"/>
  <c r="AI193" i="1"/>
  <c r="AG174" i="1"/>
  <c r="AH174" i="1"/>
  <c r="AI174" i="1"/>
  <c r="AF174" i="1"/>
  <c r="AF163" i="1"/>
  <c r="AG163" i="1"/>
  <c r="AH163" i="1"/>
  <c r="AI163" i="1"/>
  <c r="AG164" i="1"/>
  <c r="AH164" i="1"/>
  <c r="AI164" i="1"/>
  <c r="AI171" i="1" s="1"/>
  <c r="AF165" i="1"/>
  <c r="AJ165" i="1" s="1"/>
  <c r="AG165" i="1"/>
  <c r="AG171" i="1" s="1"/>
  <c r="AH165" i="1"/>
  <c r="AH171" i="1" s="1"/>
  <c r="AI165" i="1"/>
  <c r="AF166" i="1"/>
  <c r="AG166" i="1"/>
  <c r="AH166" i="1"/>
  <c r="AI166" i="1"/>
  <c r="AF167" i="1"/>
  <c r="AJ167" i="1" s="1"/>
  <c r="AW167" i="11" s="1"/>
  <c r="AG167" i="1"/>
  <c r="AH167" i="1"/>
  <c r="AI167" i="1"/>
  <c r="AG168" i="1"/>
  <c r="AH168" i="1"/>
  <c r="AI168" i="1"/>
  <c r="AF169" i="1"/>
  <c r="AG169" i="1"/>
  <c r="AH169" i="1"/>
  <c r="AI169" i="1"/>
  <c r="AG170" i="1"/>
  <c r="AH170" i="1"/>
  <c r="AI170" i="1"/>
  <c r="AG162" i="1"/>
  <c r="AH162" i="1"/>
  <c r="AI162" i="1"/>
  <c r="AF162" i="1"/>
  <c r="AF153" i="1"/>
  <c r="AH153" i="1"/>
  <c r="AI153" i="1"/>
  <c r="AG154" i="1"/>
  <c r="AH154" i="1"/>
  <c r="AI154" i="1"/>
  <c r="AF155" i="1"/>
  <c r="AJ155" i="1" s="1"/>
  <c r="AG155" i="1"/>
  <c r="AH155" i="1"/>
  <c r="AH159" i="1" s="1"/>
  <c r="AI155" i="1"/>
  <c r="AG156" i="1"/>
  <c r="AH156" i="1"/>
  <c r="AI156" i="1"/>
  <c r="AG157" i="1"/>
  <c r="AH157" i="1"/>
  <c r="AI157" i="1"/>
  <c r="AF158" i="1"/>
  <c r="AG158" i="1"/>
  <c r="AH158" i="1"/>
  <c r="AI158" i="1"/>
  <c r="AJ158" i="1" s="1"/>
  <c r="AG152" i="1"/>
  <c r="AH152" i="1"/>
  <c r="AI152" i="1"/>
  <c r="AF152" i="1"/>
  <c r="AG145" i="1"/>
  <c r="AH145" i="1"/>
  <c r="AI145" i="1"/>
  <c r="AI149" i="1" s="1"/>
  <c r="AG146" i="1"/>
  <c r="AG149" i="1" s="1"/>
  <c r="AH146" i="1"/>
  <c r="AH149" i="1" s="1"/>
  <c r="AI146" i="1"/>
  <c r="AF147" i="1"/>
  <c r="AJ147" i="1" s="1"/>
  <c r="AW147" i="11" s="1"/>
  <c r="AG147" i="1"/>
  <c r="AH147" i="1"/>
  <c r="AI147" i="1"/>
  <c r="AG148" i="1"/>
  <c r="AH148" i="1"/>
  <c r="AI148" i="1"/>
  <c r="AG144" i="1"/>
  <c r="AH144" i="1"/>
  <c r="AI144" i="1"/>
  <c r="AF136" i="1"/>
  <c r="AJ136" i="1" s="1"/>
  <c r="AG136" i="1"/>
  <c r="AH136" i="1"/>
  <c r="AH141" i="1" s="1"/>
  <c r="AI136" i="1"/>
  <c r="AF137" i="1"/>
  <c r="AG137" i="1"/>
  <c r="AH137" i="1"/>
  <c r="AI137" i="1"/>
  <c r="AJ137" i="1" s="1"/>
  <c r="AG138" i="1"/>
  <c r="AH138" i="1"/>
  <c r="AI138" i="1"/>
  <c r="AG139" i="1"/>
  <c r="AH139" i="1"/>
  <c r="AI139" i="1"/>
  <c r="AF140" i="1"/>
  <c r="AH140" i="1"/>
  <c r="AI140" i="1"/>
  <c r="AG135" i="1"/>
  <c r="AH135" i="1"/>
  <c r="AI135" i="1"/>
  <c r="AF135" i="1"/>
  <c r="AH127" i="1"/>
  <c r="AG128" i="1"/>
  <c r="AH128" i="1"/>
  <c r="AH129" i="1"/>
  <c r="AF130" i="1"/>
  <c r="AJ130" i="1" s="1"/>
  <c r="AW130" i="11" s="1"/>
  <c r="AG130" i="1"/>
  <c r="AH130" i="1"/>
  <c r="AI130" i="1"/>
  <c r="AF131" i="1"/>
  <c r="AG131" i="1"/>
  <c r="AH131" i="1"/>
  <c r="AJ131" i="1" s="1"/>
  <c r="AI131" i="1"/>
  <c r="AH126" i="1"/>
  <c r="AF120" i="1"/>
  <c r="AG120" i="1"/>
  <c r="AH120" i="1"/>
  <c r="AI120" i="1"/>
  <c r="AG121" i="1"/>
  <c r="AH121" i="1"/>
  <c r="AI121" i="1"/>
  <c r="AF122" i="1"/>
  <c r="AG122" i="1"/>
  <c r="AG125" i="1" s="1"/>
  <c r="AH122" i="1"/>
  <c r="AH125" i="1" s="1"/>
  <c r="AI122" i="1"/>
  <c r="AG123" i="1"/>
  <c r="AH123" i="1"/>
  <c r="AI123" i="1"/>
  <c r="AF124" i="1"/>
  <c r="AG124" i="1"/>
  <c r="AH124" i="1"/>
  <c r="AI124" i="1"/>
  <c r="AG119" i="1"/>
  <c r="AH119" i="1"/>
  <c r="AI119" i="1"/>
  <c r="AJ119" i="1" s="1"/>
  <c r="AW119" i="11" s="1"/>
  <c r="AF119" i="1"/>
  <c r="AG112" i="1"/>
  <c r="AH112" i="1"/>
  <c r="AI112" i="1"/>
  <c r="AG113" i="1"/>
  <c r="AH113" i="1"/>
  <c r="AF114" i="1"/>
  <c r="AG114" i="1"/>
  <c r="AH114" i="1"/>
  <c r="AI114" i="1"/>
  <c r="AF115" i="1"/>
  <c r="AG115" i="1"/>
  <c r="AH115" i="1"/>
  <c r="AI115" i="1"/>
  <c r="AF94" i="1"/>
  <c r="AG94" i="1"/>
  <c r="AH94" i="1"/>
  <c r="AI94" i="1"/>
  <c r="AF95" i="1"/>
  <c r="AG95" i="1"/>
  <c r="AH95" i="1"/>
  <c r="AI95" i="1"/>
  <c r="AF96" i="1"/>
  <c r="AJ96" i="1" s="1"/>
  <c r="AG96" i="1"/>
  <c r="AH96" i="1"/>
  <c r="AI96" i="1"/>
  <c r="AF97" i="1"/>
  <c r="AG97" i="1"/>
  <c r="AH97" i="1"/>
  <c r="AJ97" i="1" s="1"/>
  <c r="AI97" i="1"/>
  <c r="AF98" i="1"/>
  <c r="AJ98" i="1" s="1"/>
  <c r="AW98" i="11" s="1"/>
  <c r="AG98" i="1"/>
  <c r="AH98" i="1"/>
  <c r="AI98" i="1"/>
  <c r="AF99" i="1"/>
  <c r="AJ99" i="1" s="1"/>
  <c r="AW99" i="11" s="1"/>
  <c r="AG99" i="1"/>
  <c r="AH99" i="1"/>
  <c r="AI99" i="1"/>
  <c r="AF100" i="1"/>
  <c r="AG100" i="1"/>
  <c r="AH100" i="1"/>
  <c r="AI100" i="1"/>
  <c r="AF101" i="1"/>
  <c r="AG101" i="1"/>
  <c r="AH101" i="1"/>
  <c r="AI101" i="1"/>
  <c r="AF102" i="1"/>
  <c r="AG102" i="1"/>
  <c r="AJ102" i="1" s="1"/>
  <c r="AH102" i="1"/>
  <c r="AI102" i="1"/>
  <c r="AF103" i="1"/>
  <c r="AG103" i="1"/>
  <c r="AH103" i="1"/>
  <c r="AI103" i="1"/>
  <c r="AF104" i="1"/>
  <c r="AG104" i="1"/>
  <c r="AH104" i="1"/>
  <c r="AI104" i="1"/>
  <c r="AF105" i="1"/>
  <c r="AJ105" i="1" s="1"/>
  <c r="AG105" i="1"/>
  <c r="AH105" i="1"/>
  <c r="AI105" i="1"/>
  <c r="AF106" i="1"/>
  <c r="AG106" i="1"/>
  <c r="AH106" i="1"/>
  <c r="AI106" i="1"/>
  <c r="AF107" i="1"/>
  <c r="AJ107" i="1" s="1"/>
  <c r="AG107" i="1"/>
  <c r="AH107" i="1"/>
  <c r="AI107" i="1"/>
  <c r="AF108" i="1"/>
  <c r="AJ108" i="1" s="1"/>
  <c r="AG108" i="1"/>
  <c r="AH108" i="1"/>
  <c r="AI108" i="1"/>
  <c r="AG93" i="1"/>
  <c r="AH93" i="1"/>
  <c r="AI93" i="1"/>
  <c r="AF93" i="1"/>
  <c r="AJ93" i="1" s="1"/>
  <c r="AW93" i="11" s="1"/>
  <c r="AJ86" i="1"/>
  <c r="AJ85" i="1"/>
  <c r="AF86" i="1"/>
  <c r="AG86" i="1"/>
  <c r="AH86" i="1"/>
  <c r="AI86" i="1"/>
  <c r="AF87" i="1"/>
  <c r="AG87" i="1"/>
  <c r="AG88" i="1" s="1"/>
  <c r="AH87" i="1"/>
  <c r="AH88" i="1" s="1"/>
  <c r="AI87" i="1"/>
  <c r="AJ87" i="1" s="1"/>
  <c r="AG85" i="1"/>
  <c r="AH85" i="1"/>
  <c r="AI85" i="1"/>
  <c r="AF85" i="1"/>
  <c r="AG69" i="1"/>
  <c r="AH69" i="1"/>
  <c r="AI69" i="1"/>
  <c r="AF70" i="1"/>
  <c r="AG70" i="1"/>
  <c r="AH70" i="1"/>
  <c r="AI70" i="1"/>
  <c r="AG71" i="1"/>
  <c r="AH71" i="1"/>
  <c r="AH82" i="1" s="1"/>
  <c r="AI71" i="1"/>
  <c r="AF72" i="1"/>
  <c r="AG72" i="1"/>
  <c r="AH72" i="1"/>
  <c r="AI72" i="1"/>
  <c r="AF73" i="1"/>
  <c r="AG73" i="1"/>
  <c r="AJ73" i="1" s="1"/>
  <c r="AW73" i="11" s="1"/>
  <c r="AH73" i="1"/>
  <c r="AI73" i="1"/>
  <c r="AF74" i="1"/>
  <c r="AH74" i="1"/>
  <c r="AI74" i="1"/>
  <c r="AF75" i="1"/>
  <c r="AG75" i="1"/>
  <c r="AH75" i="1"/>
  <c r="AI75" i="1"/>
  <c r="AF76" i="1"/>
  <c r="AG76" i="1"/>
  <c r="AH76" i="1"/>
  <c r="AI76" i="1"/>
  <c r="AF77" i="1"/>
  <c r="AJ77" i="1" s="1"/>
  <c r="AW77" i="11" s="1"/>
  <c r="D11" i="2" s="1"/>
  <c r="AG77" i="1"/>
  <c r="AH77" i="1"/>
  <c r="AI77" i="1"/>
  <c r="AF78" i="1"/>
  <c r="AG78" i="1"/>
  <c r="AH78" i="1"/>
  <c r="AI78" i="1"/>
  <c r="AJ78" i="1" s="1"/>
  <c r="AF79" i="1"/>
  <c r="AJ79" i="1" s="1"/>
  <c r="AG79" i="1"/>
  <c r="AH79" i="1"/>
  <c r="AI79" i="1"/>
  <c r="AF80" i="1"/>
  <c r="AJ80" i="1" s="1"/>
  <c r="AG80" i="1"/>
  <c r="AH80" i="1"/>
  <c r="AI80" i="1"/>
  <c r="AF81" i="1"/>
  <c r="AG81" i="1"/>
  <c r="AH81" i="1"/>
  <c r="AI81" i="1"/>
  <c r="AG68" i="1"/>
  <c r="AH68" i="1"/>
  <c r="AI68" i="1"/>
  <c r="AF40" i="1"/>
  <c r="AG40" i="1"/>
  <c r="AH40" i="1"/>
  <c r="AH61" i="1" s="1"/>
  <c r="AH64" i="1" s="1"/>
  <c r="AI40" i="1"/>
  <c r="AF41" i="1"/>
  <c r="AG41" i="1"/>
  <c r="AH41" i="1"/>
  <c r="AI41" i="1"/>
  <c r="AJ41" i="1" s="1"/>
  <c r="AW41" i="11" s="1"/>
  <c r="AF42" i="1"/>
  <c r="AG42" i="1"/>
  <c r="AG61" i="1" s="1"/>
  <c r="AG64" i="1" s="1"/>
  <c r="AH42" i="1"/>
  <c r="AI42" i="1"/>
  <c r="AF43" i="1"/>
  <c r="AG43" i="1"/>
  <c r="AH43" i="1"/>
  <c r="AI43" i="1"/>
  <c r="AF44" i="1"/>
  <c r="AG44" i="1"/>
  <c r="AH44" i="1"/>
  <c r="AI44" i="1"/>
  <c r="AJ44" i="1" s="1"/>
  <c r="AW44" i="11" s="1"/>
  <c r="AF45" i="1"/>
  <c r="AJ45" i="1" s="1"/>
  <c r="AG45" i="1"/>
  <c r="AH45" i="1"/>
  <c r="AI45" i="1"/>
  <c r="AF46" i="1"/>
  <c r="AG46" i="1"/>
  <c r="AJ46" i="1" s="1"/>
  <c r="AH46" i="1"/>
  <c r="AI46" i="1"/>
  <c r="AF47" i="1"/>
  <c r="AG47" i="1"/>
  <c r="AH47" i="1"/>
  <c r="AI47" i="1"/>
  <c r="AF48" i="1"/>
  <c r="AJ48" i="1" s="1"/>
  <c r="AG48" i="1"/>
  <c r="AH48" i="1"/>
  <c r="AI48" i="1"/>
  <c r="AF49" i="1"/>
  <c r="AG49" i="1"/>
  <c r="AH49" i="1"/>
  <c r="AI49" i="1"/>
  <c r="AJ49" i="1" s="1"/>
  <c r="AF50" i="1"/>
  <c r="AG50" i="1"/>
  <c r="AH50" i="1"/>
  <c r="AI50" i="1"/>
  <c r="AF51" i="1"/>
  <c r="AJ51" i="1" s="1"/>
  <c r="AW51" i="11" s="1"/>
  <c r="AG51" i="1"/>
  <c r="AH51" i="1"/>
  <c r="AI51" i="1"/>
  <c r="AF52" i="1"/>
  <c r="AJ52" i="1" s="1"/>
  <c r="AW52" i="11" s="1"/>
  <c r="AG52" i="1"/>
  <c r="AH52" i="1"/>
  <c r="AI52" i="1"/>
  <c r="AF53" i="1"/>
  <c r="AG53" i="1"/>
  <c r="AH53" i="1"/>
  <c r="AI53" i="1"/>
  <c r="AF54" i="1"/>
  <c r="AG54" i="1"/>
  <c r="AH54" i="1"/>
  <c r="AJ54" i="1" s="1"/>
  <c r="AI54" i="1"/>
  <c r="AF55" i="1"/>
  <c r="AG55" i="1"/>
  <c r="AH55" i="1"/>
  <c r="AI55" i="1"/>
  <c r="AF56" i="1"/>
  <c r="AG56" i="1"/>
  <c r="AH56" i="1"/>
  <c r="AI56" i="1"/>
  <c r="AF57" i="1"/>
  <c r="AJ57" i="1" s="1"/>
  <c r="AG57" i="1"/>
  <c r="AH57" i="1"/>
  <c r="AI57" i="1"/>
  <c r="AF58" i="1"/>
  <c r="AG58" i="1"/>
  <c r="AJ58" i="1" s="1"/>
  <c r="AH58" i="1"/>
  <c r="AI58" i="1"/>
  <c r="AF59" i="1"/>
  <c r="AG59" i="1"/>
  <c r="AJ59" i="1" s="1"/>
  <c r="AH59" i="1"/>
  <c r="AI59" i="1"/>
  <c r="AF60" i="1"/>
  <c r="AJ60" i="1" s="1"/>
  <c r="AG60" i="1"/>
  <c r="AH60" i="1"/>
  <c r="AI60" i="1"/>
  <c r="AG39" i="1"/>
  <c r="AH39" i="1"/>
  <c r="AI39" i="1"/>
  <c r="AF39" i="1"/>
  <c r="AF28" i="1"/>
  <c r="AG28" i="1"/>
  <c r="AH28" i="1"/>
  <c r="AH36" i="1" s="1"/>
  <c r="AI28" i="1"/>
  <c r="AI36" i="1" s="1"/>
  <c r="AF29" i="1"/>
  <c r="AG29" i="1"/>
  <c r="AG36" i="1" s="1"/>
  <c r="AH29" i="1"/>
  <c r="AI29" i="1"/>
  <c r="AF30" i="1"/>
  <c r="AG30" i="1"/>
  <c r="AH30" i="1"/>
  <c r="AJ30" i="1" s="1"/>
  <c r="AI30" i="1"/>
  <c r="AF31" i="1"/>
  <c r="AG31" i="1"/>
  <c r="AH31" i="1"/>
  <c r="AI31" i="1"/>
  <c r="AF32" i="1"/>
  <c r="AG32" i="1"/>
  <c r="AH32" i="1"/>
  <c r="AI32" i="1"/>
  <c r="AF33" i="1"/>
  <c r="AJ33" i="1" s="1"/>
  <c r="AG33" i="1"/>
  <c r="AH33" i="1"/>
  <c r="AI33" i="1"/>
  <c r="AF34" i="1"/>
  <c r="AG34" i="1"/>
  <c r="AH34" i="1"/>
  <c r="AI34" i="1"/>
  <c r="AF35" i="1"/>
  <c r="AG35" i="1"/>
  <c r="AJ35" i="1" s="1"/>
  <c r="AH35" i="1"/>
  <c r="AI35" i="1"/>
  <c r="AG27" i="1"/>
  <c r="AH27" i="1"/>
  <c r="AI27" i="1"/>
  <c r="AF27" i="1"/>
  <c r="AJ27" i="1" s="1"/>
  <c r="AW27" i="11" s="1"/>
  <c r="AF22" i="1"/>
  <c r="AG22" i="1"/>
  <c r="AH22" i="1"/>
  <c r="AI22" i="1"/>
  <c r="AF23" i="1"/>
  <c r="AG23" i="1"/>
  <c r="AH23" i="1"/>
  <c r="AI23" i="1"/>
  <c r="AF24" i="1"/>
  <c r="AJ24" i="1" s="1"/>
  <c r="AW24" i="11" s="1"/>
  <c r="AG24" i="1"/>
  <c r="AH24" i="1"/>
  <c r="AI24" i="1"/>
  <c r="AF25" i="1"/>
  <c r="AG25" i="1"/>
  <c r="AI25" i="1"/>
  <c r="AG21" i="1"/>
  <c r="AH21" i="1"/>
  <c r="AI21" i="1"/>
  <c r="AF21" i="1"/>
  <c r="AF5" i="1"/>
  <c r="AW5" i="11" s="1"/>
  <c r="AF6" i="1"/>
  <c r="AW6" i="11" s="1"/>
  <c r="AF7" i="1"/>
  <c r="AW7" i="11" s="1"/>
  <c r="AF8" i="1"/>
  <c r="AW8" i="11" s="1"/>
  <c r="AF9" i="1"/>
  <c r="AW9" i="11" s="1"/>
  <c r="AF10" i="1"/>
  <c r="AF11" i="1"/>
  <c r="AF12" i="1"/>
  <c r="AF13" i="1"/>
  <c r="AF14" i="1"/>
  <c r="AF15" i="1"/>
  <c r="AF16" i="1"/>
  <c r="AF4" i="1"/>
  <c r="AW4" i="11" s="1"/>
  <c r="AJ220" i="1"/>
  <c r="AI220" i="1"/>
  <c r="AH220" i="1"/>
  <c r="AG220" i="1"/>
  <c r="AF220" i="1"/>
  <c r="AJ204" i="1"/>
  <c r="AJ202" i="1"/>
  <c r="AJ198" i="1"/>
  <c r="AW198" i="11" s="1"/>
  <c r="AJ191" i="1"/>
  <c r="AJ190" i="1"/>
  <c r="AJ188" i="1"/>
  <c r="AW188" i="11" s="1"/>
  <c r="AJ184" i="1"/>
  <c r="AJ176" i="1"/>
  <c r="AJ169" i="1"/>
  <c r="AJ163" i="1"/>
  <c r="AJ162" i="1"/>
  <c r="AJ152" i="1"/>
  <c r="AW152" i="11" s="1"/>
  <c r="AJ135" i="1"/>
  <c r="AJ124" i="1"/>
  <c r="AJ120" i="1"/>
  <c r="AW120" i="11" s="1"/>
  <c r="AJ115" i="1"/>
  <c r="AJ114" i="1"/>
  <c r="AJ106" i="1"/>
  <c r="AJ103" i="1"/>
  <c r="AJ100" i="1"/>
  <c r="AF88" i="1"/>
  <c r="AJ84" i="1"/>
  <c r="AJ91" i="1" s="1"/>
  <c r="AJ118" i="1" s="1"/>
  <c r="AJ134" i="1" s="1"/>
  <c r="AJ81" i="1"/>
  <c r="AJ75" i="1"/>
  <c r="AJ72" i="1"/>
  <c r="AW72" i="11" s="1"/>
  <c r="AJ70" i="1"/>
  <c r="AJ67" i="1"/>
  <c r="AI67" i="1"/>
  <c r="AI84" i="1" s="1"/>
  <c r="AI91" i="1" s="1"/>
  <c r="AI118" i="1" s="1"/>
  <c r="AI134" i="1" s="1"/>
  <c r="AJ56" i="1"/>
  <c r="AJ55" i="1"/>
  <c r="AJ53" i="1"/>
  <c r="AJ43" i="1"/>
  <c r="AW43" i="11" s="1"/>
  <c r="AJ40" i="1"/>
  <c r="AW40" i="11" s="1"/>
  <c r="AJ38" i="1"/>
  <c r="AI38" i="1"/>
  <c r="AJ34" i="1"/>
  <c r="AJ32" i="1"/>
  <c r="AJ31" i="1"/>
  <c r="AJ29" i="1"/>
  <c r="AJ28" i="1"/>
  <c r="AW28" i="11" s="1"/>
  <c r="AJ26" i="1"/>
  <c r="AI26" i="1"/>
  <c r="AJ25" i="1"/>
  <c r="AJ23" i="1"/>
  <c r="AJ22" i="1"/>
  <c r="AW22" i="11" s="1"/>
  <c r="R86" i="1"/>
  <c r="R87" i="1"/>
  <c r="P87" i="11" s="1"/>
  <c r="R85" i="1"/>
  <c r="E128" i="1"/>
  <c r="D128" i="1"/>
  <c r="C128" i="1"/>
  <c r="B128" i="1"/>
  <c r="K128" i="1"/>
  <c r="J128" i="1"/>
  <c r="I128" i="1"/>
  <c r="H128" i="1"/>
  <c r="L128" i="1" s="1"/>
  <c r="I128" i="11" s="1"/>
  <c r="AC128" i="1"/>
  <c r="AD128" i="1" s="1"/>
  <c r="AP128" i="11" s="1"/>
  <c r="AB128" i="1"/>
  <c r="W128" i="1"/>
  <c r="V128" i="1"/>
  <c r="E112" i="1"/>
  <c r="D112" i="1"/>
  <c r="C112" i="1"/>
  <c r="B112" i="1"/>
  <c r="K112" i="1"/>
  <c r="J112" i="1"/>
  <c r="I112" i="1"/>
  <c r="H112" i="1"/>
  <c r="AC112" i="1"/>
  <c r="AD112" i="1" s="1"/>
  <c r="AP112" i="11" s="1"/>
  <c r="AB112" i="1"/>
  <c r="W112" i="1"/>
  <c r="U111" i="1"/>
  <c r="W111" i="1"/>
  <c r="AA111" i="1"/>
  <c r="AB111" i="1"/>
  <c r="E113" i="1"/>
  <c r="D113" i="1"/>
  <c r="C113" i="1"/>
  <c r="K113" i="1"/>
  <c r="J113" i="1"/>
  <c r="I113" i="1"/>
  <c r="AB113" i="1"/>
  <c r="AA113" i="1"/>
  <c r="W113" i="1"/>
  <c r="V113" i="1"/>
  <c r="U113" i="1"/>
  <c r="E129" i="1"/>
  <c r="D129" i="1"/>
  <c r="C129" i="1"/>
  <c r="K129" i="1"/>
  <c r="J129" i="1"/>
  <c r="I129" i="1"/>
  <c r="AB129" i="1"/>
  <c r="AA129" i="1"/>
  <c r="Z129" i="1"/>
  <c r="W129" i="1"/>
  <c r="V129" i="1"/>
  <c r="Q129" i="1"/>
  <c r="O129" i="1"/>
  <c r="P129" i="1"/>
  <c r="N129" i="1"/>
  <c r="O113" i="1"/>
  <c r="P113" i="1"/>
  <c r="Q113" i="1"/>
  <c r="N128" i="1"/>
  <c r="Q128" i="1"/>
  <c r="P128" i="1"/>
  <c r="O128" i="1"/>
  <c r="O112" i="1"/>
  <c r="Q112" i="1"/>
  <c r="P112" i="1"/>
  <c r="N112" i="1"/>
  <c r="AF112" i="1" s="1"/>
  <c r="R112" i="1"/>
  <c r="P112" i="11" s="1"/>
  <c r="I17" i="1"/>
  <c r="C17" i="1"/>
  <c r="AD220" i="1"/>
  <c r="AD215" i="1"/>
  <c r="AD214" i="1"/>
  <c r="AD213" i="1"/>
  <c r="AD212" i="1"/>
  <c r="AD216" i="1" s="1"/>
  <c r="AD207" i="1"/>
  <c r="AD206" i="1"/>
  <c r="AD205" i="1"/>
  <c r="AD204" i="1"/>
  <c r="AD203" i="1"/>
  <c r="AD202" i="1"/>
  <c r="AD201" i="1"/>
  <c r="AD200" i="1"/>
  <c r="AD199" i="1"/>
  <c r="AD198" i="1"/>
  <c r="AD197" i="1"/>
  <c r="AD193" i="1"/>
  <c r="AD192" i="1"/>
  <c r="AP192" i="11" s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0" i="1"/>
  <c r="AP170" i="11" s="1"/>
  <c r="AD169" i="1"/>
  <c r="AD171" i="1" s="1"/>
  <c r="AP171" i="11" s="1"/>
  <c r="AD168" i="1"/>
  <c r="AD167" i="1"/>
  <c r="AD166" i="1"/>
  <c r="AD165" i="1"/>
  <c r="AD164" i="1"/>
  <c r="AD163" i="1"/>
  <c r="AD162" i="1"/>
  <c r="AD158" i="1"/>
  <c r="AD157" i="1"/>
  <c r="AD156" i="1"/>
  <c r="AD159" i="1" s="1"/>
  <c r="AP159" i="11" s="1"/>
  <c r="AD155" i="1"/>
  <c r="AD154" i="1"/>
  <c r="AD153" i="1"/>
  <c r="AD152" i="1"/>
  <c r="AP152" i="11" s="1"/>
  <c r="AD148" i="1"/>
  <c r="AD147" i="1"/>
  <c r="AD146" i="1"/>
  <c r="AD145" i="1"/>
  <c r="AD144" i="1"/>
  <c r="AD149" i="1" s="1"/>
  <c r="AD140" i="1"/>
  <c r="AD139" i="1"/>
  <c r="AD138" i="1"/>
  <c r="AD137" i="1"/>
  <c r="AD136" i="1"/>
  <c r="AD135" i="1"/>
  <c r="AD141" i="1" s="1"/>
  <c r="AD131" i="1"/>
  <c r="AD130" i="1"/>
  <c r="AD124" i="1"/>
  <c r="AD123" i="1"/>
  <c r="AP123" i="11" s="1"/>
  <c r="AD122" i="1"/>
  <c r="AD121" i="1"/>
  <c r="AD120" i="1"/>
  <c r="AP120" i="11" s="1"/>
  <c r="AD119" i="1"/>
  <c r="AD115" i="1"/>
  <c r="AD114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P95" i="11" s="1"/>
  <c r="AD94" i="1"/>
  <c r="AP94" i="11" s="1"/>
  <c r="AD93" i="1"/>
  <c r="AD109" i="1" s="1"/>
  <c r="AP109" i="11" s="1"/>
  <c r="AD88" i="1"/>
  <c r="AD81" i="1"/>
  <c r="AD80" i="1"/>
  <c r="AD79" i="1"/>
  <c r="AD78" i="1"/>
  <c r="AD77" i="1"/>
  <c r="AP77" i="11" s="1"/>
  <c r="AD76" i="1"/>
  <c r="AP76" i="11" s="1"/>
  <c r="AD75" i="1"/>
  <c r="AD74" i="1"/>
  <c r="AD73" i="1"/>
  <c r="AD72" i="1"/>
  <c r="AD71" i="1"/>
  <c r="AD70" i="1"/>
  <c r="AD69" i="1"/>
  <c r="AD68" i="1"/>
  <c r="AD67" i="1"/>
  <c r="AD84" i="1" s="1"/>
  <c r="AD91" i="1" s="1"/>
  <c r="AD118" i="1" s="1"/>
  <c r="AD134" i="1" s="1"/>
  <c r="AD60" i="1"/>
  <c r="AD59" i="1"/>
  <c r="AD58" i="1"/>
  <c r="AD57" i="1"/>
  <c r="AD56" i="1"/>
  <c r="AD55" i="1"/>
  <c r="AD54" i="1"/>
  <c r="AD53" i="1"/>
  <c r="AD52" i="1"/>
  <c r="AP52" i="11" s="1"/>
  <c r="AD51" i="1"/>
  <c r="AD50" i="1"/>
  <c r="AP50" i="11" s="1"/>
  <c r="AD49" i="1"/>
  <c r="AD48" i="1"/>
  <c r="AD47" i="1"/>
  <c r="AD46" i="1"/>
  <c r="AD45" i="1"/>
  <c r="AD44" i="1"/>
  <c r="AP44" i="11" s="1"/>
  <c r="AD43" i="1"/>
  <c r="AP43" i="11" s="1"/>
  <c r="AD42" i="1"/>
  <c r="AD41" i="1"/>
  <c r="AP41" i="11" s="1"/>
  <c r="AD40" i="1"/>
  <c r="AD39" i="1"/>
  <c r="AD38" i="1"/>
  <c r="AD35" i="1"/>
  <c r="AD34" i="1"/>
  <c r="AD36" i="1" s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Z17" i="1"/>
  <c r="Z138" i="1" s="1"/>
  <c r="Z141" i="1" s="1"/>
  <c r="Z3" i="1"/>
  <c r="AC220" i="1"/>
  <c r="AB220" i="1"/>
  <c r="AA220" i="1"/>
  <c r="Z220" i="1"/>
  <c r="AC216" i="1"/>
  <c r="AB216" i="1"/>
  <c r="AA216" i="1"/>
  <c r="Z216" i="1"/>
  <c r="AB207" i="1"/>
  <c r="AA207" i="1"/>
  <c r="Z207" i="1"/>
  <c r="AC203" i="1"/>
  <c r="AC207" i="1" s="1"/>
  <c r="AC194" i="1"/>
  <c r="AB194" i="1"/>
  <c r="AA194" i="1"/>
  <c r="Z194" i="1"/>
  <c r="AC171" i="1"/>
  <c r="AB171" i="1"/>
  <c r="AA171" i="1"/>
  <c r="Z171" i="1"/>
  <c r="AC159" i="1"/>
  <c r="AB159" i="1"/>
  <c r="AA159" i="1"/>
  <c r="Z159" i="1"/>
  <c r="AC149" i="1"/>
  <c r="AB149" i="1"/>
  <c r="AA149" i="1"/>
  <c r="AC141" i="1"/>
  <c r="AB141" i="1"/>
  <c r="AA141" i="1"/>
  <c r="AA140" i="1"/>
  <c r="Z139" i="1"/>
  <c r="AB127" i="1"/>
  <c r="AA127" i="1"/>
  <c r="AB126" i="1"/>
  <c r="AB132" i="1" s="1"/>
  <c r="AA126" i="1"/>
  <c r="AA132" i="1" s="1"/>
  <c r="AC125" i="1"/>
  <c r="AB125" i="1"/>
  <c r="AA125" i="1"/>
  <c r="Z123" i="1"/>
  <c r="Z125" i="1" s="1"/>
  <c r="AB116" i="1"/>
  <c r="Z111" i="1"/>
  <c r="AB110" i="1"/>
  <c r="AC109" i="1"/>
  <c r="AC110" i="1" s="1"/>
  <c r="AB109" i="1"/>
  <c r="Z109" i="1"/>
  <c r="Z110" i="1" s="1"/>
  <c r="AA106" i="1"/>
  <c r="AA109" i="1" s="1"/>
  <c r="AC88" i="1"/>
  <c r="AB88" i="1"/>
  <c r="AA88" i="1"/>
  <c r="Z88" i="1"/>
  <c r="AC82" i="1"/>
  <c r="AB82" i="1"/>
  <c r="AA82" i="1"/>
  <c r="Z82" i="1"/>
  <c r="AC67" i="1"/>
  <c r="AC84" i="1" s="1"/>
  <c r="AC91" i="1" s="1"/>
  <c r="AC118" i="1" s="1"/>
  <c r="AC134" i="1" s="1"/>
  <c r="AA64" i="1"/>
  <c r="AA65" i="1" s="1"/>
  <c r="AA63" i="1"/>
  <c r="Z63" i="1"/>
  <c r="AC61" i="1"/>
  <c r="AC64" i="1" s="1"/>
  <c r="AC113" i="1" s="1"/>
  <c r="AI113" i="1" s="1"/>
  <c r="AB61" i="1"/>
  <c r="AB64" i="1" s="1"/>
  <c r="AA61" i="1"/>
  <c r="Z61" i="1"/>
  <c r="Z64" i="1" s="1"/>
  <c r="Z65" i="1" s="1"/>
  <c r="AC38" i="1"/>
  <c r="AC36" i="1"/>
  <c r="AC63" i="1" s="1"/>
  <c r="AC129" i="1" s="1"/>
  <c r="AB36" i="1"/>
  <c r="AB63" i="1" s="1"/>
  <c r="AB65" i="1" s="1"/>
  <c r="AA36" i="1"/>
  <c r="Z36" i="1"/>
  <c r="AC26" i="1"/>
  <c r="X220" i="1"/>
  <c r="X215" i="1"/>
  <c r="X214" i="1"/>
  <c r="W214" i="11" s="1"/>
  <c r="X213" i="1"/>
  <c r="W213" i="11" s="1"/>
  <c r="X212" i="1"/>
  <c r="X206" i="1"/>
  <c r="X205" i="1"/>
  <c r="X204" i="1"/>
  <c r="X203" i="1"/>
  <c r="X202" i="1"/>
  <c r="X201" i="1"/>
  <c r="X200" i="1"/>
  <c r="W200" i="11" s="1"/>
  <c r="X199" i="1"/>
  <c r="X198" i="1"/>
  <c r="X197" i="1"/>
  <c r="X193" i="1"/>
  <c r="X192" i="1"/>
  <c r="W192" i="11" s="1"/>
  <c r="X191" i="1"/>
  <c r="X190" i="1"/>
  <c r="X189" i="1"/>
  <c r="X188" i="1"/>
  <c r="W188" i="11" s="1"/>
  <c r="X187" i="1"/>
  <c r="X186" i="1"/>
  <c r="X185" i="1"/>
  <c r="X184" i="1"/>
  <c r="X183" i="1"/>
  <c r="X182" i="1"/>
  <c r="X181" i="1"/>
  <c r="W181" i="11" s="1"/>
  <c r="X180" i="1"/>
  <c r="X179" i="1"/>
  <c r="W179" i="11" s="1"/>
  <c r="X177" i="1"/>
  <c r="X176" i="1"/>
  <c r="X175" i="1"/>
  <c r="W175" i="11" s="1"/>
  <c r="X174" i="1"/>
  <c r="W174" i="11" s="1"/>
  <c r="X169" i="1"/>
  <c r="X167" i="1"/>
  <c r="W167" i="11" s="1"/>
  <c r="X166" i="1"/>
  <c r="X165" i="1"/>
  <c r="X163" i="1"/>
  <c r="X162" i="1"/>
  <c r="X158" i="1"/>
  <c r="X155" i="1"/>
  <c r="X152" i="1"/>
  <c r="X147" i="1"/>
  <c r="X137" i="1"/>
  <c r="X136" i="1"/>
  <c r="X135" i="1"/>
  <c r="X131" i="1"/>
  <c r="X130" i="1"/>
  <c r="X128" i="1"/>
  <c r="W128" i="11" s="1"/>
  <c r="X124" i="1"/>
  <c r="X122" i="1"/>
  <c r="W122" i="11" s="1"/>
  <c r="X120" i="1"/>
  <c r="X119" i="1"/>
  <c r="X115" i="1"/>
  <c r="X114" i="1"/>
  <c r="X112" i="1"/>
  <c r="W112" i="11" s="1"/>
  <c r="X108" i="1"/>
  <c r="X107" i="1"/>
  <c r="X106" i="1"/>
  <c r="X105" i="1"/>
  <c r="X104" i="1"/>
  <c r="X103" i="1"/>
  <c r="X102" i="1"/>
  <c r="X101" i="1"/>
  <c r="W101" i="11" s="1"/>
  <c r="X100" i="1"/>
  <c r="X99" i="1"/>
  <c r="W99" i="11" s="1"/>
  <c r="X98" i="1"/>
  <c r="W98" i="11" s="1"/>
  <c r="X97" i="1"/>
  <c r="X96" i="1"/>
  <c r="X95" i="1"/>
  <c r="X94" i="1"/>
  <c r="W94" i="11" s="1"/>
  <c r="X93" i="1"/>
  <c r="X88" i="1"/>
  <c r="X84" i="1"/>
  <c r="X91" i="1" s="1"/>
  <c r="X118" i="1" s="1"/>
  <c r="X134" i="1" s="1"/>
  <c r="X81" i="1"/>
  <c r="X80" i="1"/>
  <c r="X79" i="1"/>
  <c r="X78" i="1"/>
  <c r="X77" i="1"/>
  <c r="X76" i="1"/>
  <c r="W76" i="11" s="1"/>
  <c r="X75" i="1"/>
  <c r="X73" i="1"/>
  <c r="W73" i="11" s="1"/>
  <c r="X72" i="1"/>
  <c r="W72" i="11" s="1"/>
  <c r="X71" i="1"/>
  <c r="X70" i="1"/>
  <c r="X69" i="1"/>
  <c r="X67" i="1"/>
  <c r="X60" i="1"/>
  <c r="X59" i="1"/>
  <c r="X58" i="1"/>
  <c r="X57" i="1"/>
  <c r="X56" i="1"/>
  <c r="X55" i="1"/>
  <c r="X54" i="1"/>
  <c r="X53" i="1"/>
  <c r="X52" i="1"/>
  <c r="X51" i="1"/>
  <c r="W51" i="11" s="1"/>
  <c r="X50" i="1"/>
  <c r="W50" i="11" s="1"/>
  <c r="X49" i="1"/>
  <c r="X48" i="1"/>
  <c r="X47" i="1"/>
  <c r="W47" i="11" s="1"/>
  <c r="X46" i="1"/>
  <c r="X45" i="1"/>
  <c r="X44" i="1"/>
  <c r="X43" i="1"/>
  <c r="X42" i="1"/>
  <c r="X41" i="1"/>
  <c r="X40" i="1"/>
  <c r="W40" i="11" s="1"/>
  <c r="X39" i="1"/>
  <c r="W39" i="11" s="1"/>
  <c r="X38" i="1"/>
  <c r="X35" i="1"/>
  <c r="X34" i="1"/>
  <c r="X33" i="1"/>
  <c r="X32" i="1"/>
  <c r="X31" i="1"/>
  <c r="X30" i="1"/>
  <c r="X29" i="1"/>
  <c r="X28" i="1"/>
  <c r="W28" i="11" s="1"/>
  <c r="X27" i="1"/>
  <c r="W27" i="11" s="1"/>
  <c r="X26" i="1"/>
  <c r="X25" i="1"/>
  <c r="X24" i="1"/>
  <c r="X23" i="1"/>
  <c r="X22" i="1"/>
  <c r="X21" i="1"/>
  <c r="W21" i="11" s="1"/>
  <c r="U17" i="1"/>
  <c r="T17" i="1"/>
  <c r="W17" i="11" s="1"/>
  <c r="T3" i="1"/>
  <c r="W3" i="11" s="1"/>
  <c r="W220" i="1"/>
  <c r="V220" i="1"/>
  <c r="U220" i="1"/>
  <c r="T220" i="1"/>
  <c r="W216" i="1"/>
  <c r="V216" i="1"/>
  <c r="U216" i="1"/>
  <c r="T216" i="1"/>
  <c r="W207" i="1"/>
  <c r="V207" i="1"/>
  <c r="U207" i="1"/>
  <c r="T205" i="1"/>
  <c r="T202" i="1"/>
  <c r="T207" i="1" s="1"/>
  <c r="W194" i="1"/>
  <c r="V194" i="1"/>
  <c r="U194" i="1"/>
  <c r="T185" i="1"/>
  <c r="W171" i="1"/>
  <c r="V171" i="1"/>
  <c r="U171" i="1"/>
  <c r="T165" i="1"/>
  <c r="W154" i="1"/>
  <c r="W159" i="1" s="1"/>
  <c r="W149" i="1"/>
  <c r="V149" i="1"/>
  <c r="U149" i="1"/>
  <c r="W141" i="1"/>
  <c r="V141" i="1"/>
  <c r="U140" i="1"/>
  <c r="U141" i="1" s="1"/>
  <c r="T135" i="1"/>
  <c r="U125" i="1"/>
  <c r="AG127" i="1" s="1"/>
  <c r="T124" i="1"/>
  <c r="W123" i="1"/>
  <c r="W125" i="1" s="1"/>
  <c r="V123" i="1"/>
  <c r="V125" i="1" s="1"/>
  <c r="U123" i="1"/>
  <c r="T123" i="1"/>
  <c r="X123" i="1" s="1"/>
  <c r="W123" i="11" s="1"/>
  <c r="U122" i="1"/>
  <c r="W110" i="1"/>
  <c r="W116" i="1" s="1"/>
  <c r="U110" i="1"/>
  <c r="W109" i="1"/>
  <c r="U109" i="1"/>
  <c r="V109" i="1"/>
  <c r="V111" i="1" s="1"/>
  <c r="AH111" i="1" s="1"/>
  <c r="T109" i="1"/>
  <c r="T111" i="1" s="1"/>
  <c r="W88" i="1"/>
  <c r="V88" i="1"/>
  <c r="U88" i="1"/>
  <c r="T88" i="1"/>
  <c r="W82" i="1"/>
  <c r="V81" i="1"/>
  <c r="V80" i="1"/>
  <c r="V82" i="1" s="1"/>
  <c r="T71" i="1"/>
  <c r="T70" i="1"/>
  <c r="T69" i="1"/>
  <c r="W67" i="1"/>
  <c r="W84" i="1" s="1"/>
  <c r="W91" i="1" s="1"/>
  <c r="W118" i="1" s="1"/>
  <c r="W134" i="1" s="1"/>
  <c r="W64" i="1"/>
  <c r="V64" i="1"/>
  <c r="U64" i="1"/>
  <c r="W63" i="1"/>
  <c r="W65" i="1" s="1"/>
  <c r="V63" i="1"/>
  <c r="V65" i="1" s="1"/>
  <c r="W61" i="1"/>
  <c r="V61" i="1"/>
  <c r="U61" i="1"/>
  <c r="T61" i="1"/>
  <c r="T64" i="1" s="1"/>
  <c r="T113" i="1" s="1"/>
  <c r="X113" i="1" s="1"/>
  <c r="W113" i="11" s="1"/>
  <c r="W38" i="1"/>
  <c r="W36" i="1"/>
  <c r="V36" i="1"/>
  <c r="V154" i="1" s="1"/>
  <c r="V159" i="1" s="1"/>
  <c r="U36" i="1"/>
  <c r="T36" i="1"/>
  <c r="T63" i="1" s="1"/>
  <c r="W26" i="1"/>
  <c r="R220" i="1"/>
  <c r="R215" i="1"/>
  <c r="R214" i="1"/>
  <c r="R213" i="1"/>
  <c r="R212" i="1"/>
  <c r="R216" i="1" s="1"/>
  <c r="R206" i="1"/>
  <c r="P206" i="11" s="1"/>
  <c r="R205" i="1"/>
  <c r="R204" i="1"/>
  <c r="R203" i="1"/>
  <c r="P203" i="11" s="1"/>
  <c r="R202" i="1"/>
  <c r="R201" i="1"/>
  <c r="R200" i="1"/>
  <c r="P200" i="11" s="1"/>
  <c r="R199" i="1"/>
  <c r="R198" i="1"/>
  <c r="P198" i="11" s="1"/>
  <c r="R197" i="1"/>
  <c r="P197" i="11" s="1"/>
  <c r="R193" i="1"/>
  <c r="P193" i="11" s="1"/>
  <c r="R192" i="1"/>
  <c r="P192" i="11" s="1"/>
  <c r="R191" i="1"/>
  <c r="R190" i="1"/>
  <c r="R189" i="1"/>
  <c r="R188" i="1"/>
  <c r="P188" i="11" s="1"/>
  <c r="R187" i="1"/>
  <c r="R186" i="1"/>
  <c r="R185" i="1"/>
  <c r="R184" i="1"/>
  <c r="R183" i="1"/>
  <c r="R182" i="1"/>
  <c r="R181" i="1"/>
  <c r="P181" i="11" s="1"/>
  <c r="R180" i="1"/>
  <c r="P180" i="11" s="1"/>
  <c r="R179" i="1"/>
  <c r="P179" i="11" s="1"/>
  <c r="R178" i="1"/>
  <c r="R177" i="1"/>
  <c r="R176" i="1"/>
  <c r="R175" i="1"/>
  <c r="P175" i="11" s="1"/>
  <c r="R174" i="1"/>
  <c r="P174" i="11" s="1"/>
  <c r="R170" i="1"/>
  <c r="R169" i="1"/>
  <c r="R168" i="1"/>
  <c r="R167" i="1"/>
  <c r="R166" i="1"/>
  <c r="R171" i="1" s="1"/>
  <c r="R165" i="1"/>
  <c r="R164" i="1"/>
  <c r="R163" i="1"/>
  <c r="R162" i="1"/>
  <c r="R158" i="1"/>
  <c r="R157" i="1"/>
  <c r="R156" i="1"/>
  <c r="R155" i="1"/>
  <c r="R154" i="1"/>
  <c r="P154" i="11" s="1"/>
  <c r="R153" i="1"/>
  <c r="R152" i="1"/>
  <c r="R148" i="1"/>
  <c r="R147" i="1"/>
  <c r="P147" i="11" s="1"/>
  <c r="R146" i="1"/>
  <c r="R145" i="1"/>
  <c r="R144" i="1"/>
  <c r="R140" i="1"/>
  <c r="P140" i="11" s="1"/>
  <c r="R139" i="1"/>
  <c r="R138" i="1"/>
  <c r="R137" i="1"/>
  <c r="R136" i="1"/>
  <c r="R135" i="1"/>
  <c r="R131" i="1"/>
  <c r="R130" i="1"/>
  <c r="P130" i="11" s="1"/>
  <c r="R128" i="1"/>
  <c r="P128" i="11" s="1"/>
  <c r="R124" i="1"/>
  <c r="R122" i="1"/>
  <c r="R121" i="1"/>
  <c r="R120" i="1"/>
  <c r="R119" i="1"/>
  <c r="R115" i="1"/>
  <c r="R114" i="1"/>
  <c r="R108" i="1"/>
  <c r="R107" i="1"/>
  <c r="R106" i="1"/>
  <c r="R105" i="1"/>
  <c r="R104" i="1"/>
  <c r="P104" i="11" s="1"/>
  <c r="R103" i="1"/>
  <c r="R102" i="1"/>
  <c r="R101" i="1"/>
  <c r="P101" i="11" s="1"/>
  <c r="R100" i="1"/>
  <c r="R99" i="1"/>
  <c r="P99" i="11" s="1"/>
  <c r="R98" i="1"/>
  <c r="R97" i="1"/>
  <c r="R96" i="1"/>
  <c r="R95" i="1"/>
  <c r="R94" i="1"/>
  <c r="P94" i="11" s="1"/>
  <c r="R93" i="1"/>
  <c r="P93" i="11" s="1"/>
  <c r="R84" i="1"/>
  <c r="R91" i="1" s="1"/>
  <c r="R118" i="1" s="1"/>
  <c r="R134" i="1" s="1"/>
  <c r="R81" i="1"/>
  <c r="R80" i="1"/>
  <c r="R79" i="1"/>
  <c r="R78" i="1"/>
  <c r="R77" i="1"/>
  <c r="R76" i="1"/>
  <c r="P76" i="11" s="1"/>
  <c r="R75" i="1"/>
  <c r="R73" i="1"/>
  <c r="P73" i="11" s="1"/>
  <c r="R72" i="1"/>
  <c r="P72" i="11" s="1"/>
  <c r="R71" i="1"/>
  <c r="P71" i="11" s="1"/>
  <c r="R70" i="1"/>
  <c r="R68" i="1"/>
  <c r="R67" i="1"/>
  <c r="R60" i="1"/>
  <c r="R59" i="1"/>
  <c r="R58" i="1"/>
  <c r="R57" i="1"/>
  <c r="R56" i="1"/>
  <c r="R55" i="1"/>
  <c r="R54" i="1"/>
  <c r="R53" i="1"/>
  <c r="R52" i="1"/>
  <c r="R51" i="1"/>
  <c r="P51" i="11" s="1"/>
  <c r="R50" i="1"/>
  <c r="P50" i="11" s="1"/>
  <c r="R49" i="1"/>
  <c r="R48" i="1"/>
  <c r="R47" i="1"/>
  <c r="R46" i="1"/>
  <c r="R45" i="1"/>
  <c r="R44" i="1"/>
  <c r="R43" i="1"/>
  <c r="R42" i="1"/>
  <c r="R41" i="1"/>
  <c r="R40" i="1"/>
  <c r="R39" i="1"/>
  <c r="R38" i="1"/>
  <c r="R35" i="1"/>
  <c r="R34" i="1"/>
  <c r="R33" i="1"/>
  <c r="R32" i="1"/>
  <c r="R31" i="1"/>
  <c r="R36" i="1" s="1"/>
  <c r="R30" i="1"/>
  <c r="R29" i="1"/>
  <c r="R28" i="1"/>
  <c r="R27" i="1"/>
  <c r="R26" i="1"/>
  <c r="R25" i="1"/>
  <c r="R24" i="1"/>
  <c r="P24" i="11" s="1"/>
  <c r="R23" i="1"/>
  <c r="R22" i="1"/>
  <c r="P22" i="11" s="1"/>
  <c r="R21" i="1"/>
  <c r="P21" i="11" s="1"/>
  <c r="O17" i="1"/>
  <c r="N13" i="1"/>
  <c r="N12" i="1"/>
  <c r="N3" i="1" s="1"/>
  <c r="N11" i="1"/>
  <c r="N10" i="1"/>
  <c r="N9" i="1"/>
  <c r="N8" i="1"/>
  <c r="N7" i="1"/>
  <c r="N6" i="1"/>
  <c r="N5" i="1"/>
  <c r="N4" i="1"/>
  <c r="Q220" i="1"/>
  <c r="P220" i="1"/>
  <c r="O220" i="1"/>
  <c r="N220" i="1"/>
  <c r="Q216" i="1"/>
  <c r="P216" i="1"/>
  <c r="O216" i="1"/>
  <c r="N216" i="1"/>
  <c r="Q207" i="1"/>
  <c r="P207" i="1"/>
  <c r="O207" i="1"/>
  <c r="N205" i="1"/>
  <c r="N202" i="1"/>
  <c r="N207" i="1" s="1"/>
  <c r="Q194" i="1"/>
  <c r="O194" i="1"/>
  <c r="N185" i="1"/>
  <c r="Q171" i="1"/>
  <c r="P171" i="1"/>
  <c r="O171" i="1"/>
  <c r="N165" i="1"/>
  <c r="N152" i="1"/>
  <c r="Q149" i="1"/>
  <c r="P149" i="1"/>
  <c r="O149" i="1"/>
  <c r="Q141" i="1"/>
  <c r="P141" i="1"/>
  <c r="O140" i="1"/>
  <c r="O141" i="1" s="1"/>
  <c r="N137" i="1"/>
  <c r="N135" i="1"/>
  <c r="Q125" i="1"/>
  <c r="Q126" i="1" s="1"/>
  <c r="P125" i="1"/>
  <c r="P126" i="1" s="1"/>
  <c r="N124" i="1"/>
  <c r="Q123" i="1"/>
  <c r="O123" i="1"/>
  <c r="N123" i="1"/>
  <c r="R123" i="1" s="1"/>
  <c r="P123" i="11" s="1"/>
  <c r="O122" i="1"/>
  <c r="O125" i="1" s="1"/>
  <c r="O126" i="1" s="1"/>
  <c r="N121" i="1"/>
  <c r="N119" i="1"/>
  <c r="Q109" i="1"/>
  <c r="Q110" i="1" s="1"/>
  <c r="O109" i="1"/>
  <c r="O110" i="1" s="1"/>
  <c r="P102" i="1"/>
  <c r="P109" i="1" s="1"/>
  <c r="P110" i="1" s="1"/>
  <c r="N101" i="1"/>
  <c r="N109" i="1" s="1"/>
  <c r="N110" i="1" s="1"/>
  <c r="N98" i="1"/>
  <c r="N95" i="1"/>
  <c r="Q88" i="1"/>
  <c r="P88" i="1"/>
  <c r="O88" i="1"/>
  <c r="N88" i="1"/>
  <c r="Q82" i="1"/>
  <c r="P82" i="1"/>
  <c r="P81" i="1"/>
  <c r="P80" i="1"/>
  <c r="N71" i="1"/>
  <c r="N70" i="1"/>
  <c r="N69" i="1"/>
  <c r="R69" i="1" s="1"/>
  <c r="P69" i="11" s="1"/>
  <c r="Q67" i="1"/>
  <c r="Q84" i="1" s="1"/>
  <c r="Q91" i="1" s="1"/>
  <c r="Q118" i="1" s="1"/>
  <c r="Q134" i="1" s="1"/>
  <c r="O64" i="1"/>
  <c r="N64" i="1"/>
  <c r="Q63" i="1"/>
  <c r="P63" i="1"/>
  <c r="P127" i="1" s="1"/>
  <c r="O63" i="1"/>
  <c r="O65" i="1" s="1"/>
  <c r="N63" i="1"/>
  <c r="Q61" i="1"/>
  <c r="Q64" i="1" s="1"/>
  <c r="P61" i="1"/>
  <c r="P64" i="1" s="1"/>
  <c r="O61" i="1"/>
  <c r="N61" i="1"/>
  <c r="Q38" i="1"/>
  <c r="Q36" i="1"/>
  <c r="Q154" i="1" s="1"/>
  <c r="Q159" i="1" s="1"/>
  <c r="P36" i="1"/>
  <c r="P154" i="1" s="1"/>
  <c r="P159" i="1" s="1"/>
  <c r="O36" i="1"/>
  <c r="N36" i="1"/>
  <c r="Q26" i="1"/>
  <c r="H17" i="1"/>
  <c r="H148" i="1" s="1"/>
  <c r="L148" i="1" s="1"/>
  <c r="H3" i="1"/>
  <c r="L220" i="1"/>
  <c r="L215" i="1"/>
  <c r="L216" i="1" s="1"/>
  <c r="L214" i="1"/>
  <c r="L213" i="1"/>
  <c r="L212" i="1"/>
  <c r="L206" i="1"/>
  <c r="L205" i="1"/>
  <c r="L204" i="1"/>
  <c r="L203" i="1"/>
  <c r="L202" i="1"/>
  <c r="L201" i="1"/>
  <c r="L200" i="1"/>
  <c r="I200" i="11" s="1"/>
  <c r="L199" i="1"/>
  <c r="I199" i="11" s="1"/>
  <c r="L198" i="1"/>
  <c r="L197" i="1"/>
  <c r="I197" i="11" s="1"/>
  <c r="L192" i="1"/>
  <c r="I192" i="11" s="1"/>
  <c r="L191" i="1"/>
  <c r="L190" i="1"/>
  <c r="L189" i="1"/>
  <c r="L188" i="1"/>
  <c r="L187" i="1"/>
  <c r="L186" i="1"/>
  <c r="L185" i="1"/>
  <c r="L184" i="1"/>
  <c r="L183" i="1"/>
  <c r="L182" i="1"/>
  <c r="L181" i="1"/>
  <c r="I181" i="11" s="1"/>
  <c r="L180" i="1"/>
  <c r="I180" i="11" s="1"/>
  <c r="L179" i="1"/>
  <c r="I179" i="11" s="1"/>
  <c r="L177" i="1"/>
  <c r="L176" i="1"/>
  <c r="L175" i="1"/>
  <c r="I175" i="11" s="1"/>
  <c r="L174" i="1"/>
  <c r="I174" i="11" s="1"/>
  <c r="L169" i="1"/>
  <c r="L167" i="1"/>
  <c r="L166" i="1"/>
  <c r="L165" i="1"/>
  <c r="L163" i="1"/>
  <c r="L162" i="1"/>
  <c r="L158" i="1"/>
  <c r="L155" i="1"/>
  <c r="L154" i="1"/>
  <c r="I154" i="11" s="1"/>
  <c r="L152" i="1"/>
  <c r="L147" i="1"/>
  <c r="L140" i="1"/>
  <c r="I140" i="11" s="1"/>
  <c r="L137" i="1"/>
  <c r="L136" i="1"/>
  <c r="L135" i="1"/>
  <c r="L131" i="1"/>
  <c r="L130" i="1"/>
  <c r="I130" i="11" s="1"/>
  <c r="L124" i="1"/>
  <c r="L122" i="1"/>
  <c r="L121" i="1"/>
  <c r="I121" i="11" s="1"/>
  <c r="L120" i="1"/>
  <c r="L119" i="1"/>
  <c r="L115" i="1"/>
  <c r="L114" i="1"/>
  <c r="L112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I95" i="11" s="1"/>
  <c r="L94" i="1"/>
  <c r="I94" i="11" s="1"/>
  <c r="L93" i="1"/>
  <c r="I93" i="11" s="1"/>
  <c r="L88" i="1"/>
  <c r="L81" i="1"/>
  <c r="L80" i="1"/>
  <c r="L79" i="1"/>
  <c r="L78" i="1"/>
  <c r="L77" i="1"/>
  <c r="L76" i="1"/>
  <c r="I76" i="11" s="1"/>
  <c r="L75" i="1"/>
  <c r="L74" i="1"/>
  <c r="I74" i="11" s="1"/>
  <c r="L73" i="1"/>
  <c r="I73" i="11" s="1"/>
  <c r="L72" i="1"/>
  <c r="I72" i="11" s="1"/>
  <c r="L70" i="1"/>
  <c r="L69" i="1"/>
  <c r="I69" i="11" s="1"/>
  <c r="L67" i="1"/>
  <c r="L84" i="1" s="1"/>
  <c r="L91" i="1" s="1"/>
  <c r="L118" i="1" s="1"/>
  <c r="L134" i="1" s="1"/>
  <c r="L60" i="1"/>
  <c r="L59" i="1"/>
  <c r="L58" i="1"/>
  <c r="L57" i="1"/>
  <c r="L56" i="1"/>
  <c r="L55" i="1"/>
  <c r="L54" i="1"/>
  <c r="L53" i="1"/>
  <c r="L52" i="1"/>
  <c r="L51" i="1"/>
  <c r="L50" i="1"/>
  <c r="I50" i="11" s="1"/>
  <c r="L49" i="1"/>
  <c r="L48" i="1"/>
  <c r="L47" i="1"/>
  <c r="L46" i="1"/>
  <c r="L45" i="1"/>
  <c r="L44" i="1"/>
  <c r="L43" i="1"/>
  <c r="L42" i="1"/>
  <c r="L41" i="1"/>
  <c r="L40" i="1"/>
  <c r="L39" i="1"/>
  <c r="L38" i="1"/>
  <c r="L35" i="1"/>
  <c r="L34" i="1"/>
  <c r="L33" i="1"/>
  <c r="L32" i="1"/>
  <c r="L31" i="1"/>
  <c r="L30" i="1"/>
  <c r="L29" i="1"/>
  <c r="L28" i="1"/>
  <c r="L27" i="1"/>
  <c r="L36" i="1" s="1"/>
  <c r="L26" i="1"/>
  <c r="L25" i="1"/>
  <c r="L24" i="1"/>
  <c r="I24" i="11" s="1"/>
  <c r="L23" i="1"/>
  <c r="L22" i="1"/>
  <c r="I22" i="11" s="1"/>
  <c r="L21" i="1"/>
  <c r="I21" i="11" s="1"/>
  <c r="K220" i="1"/>
  <c r="J220" i="1"/>
  <c r="I220" i="1"/>
  <c r="H220" i="1"/>
  <c r="K216" i="1"/>
  <c r="J216" i="1"/>
  <c r="I216" i="1"/>
  <c r="H216" i="1"/>
  <c r="K207" i="1"/>
  <c r="J207" i="1"/>
  <c r="I207" i="1"/>
  <c r="H206" i="1"/>
  <c r="H205" i="1"/>
  <c r="H202" i="1"/>
  <c r="H207" i="1" s="1"/>
  <c r="K194" i="1"/>
  <c r="I194" i="1"/>
  <c r="H185" i="1"/>
  <c r="J194" i="1"/>
  <c r="H178" i="1"/>
  <c r="L178" i="1" s="1"/>
  <c r="K171" i="1"/>
  <c r="J171" i="1"/>
  <c r="I171" i="1"/>
  <c r="H165" i="1"/>
  <c r="H152" i="1"/>
  <c r="K149" i="1"/>
  <c r="J149" i="1"/>
  <c r="I149" i="1"/>
  <c r="K141" i="1"/>
  <c r="J141" i="1"/>
  <c r="I140" i="1"/>
  <c r="I141" i="1" s="1"/>
  <c r="H139" i="1"/>
  <c r="H138" i="1"/>
  <c r="L138" i="1" s="1"/>
  <c r="H135" i="1"/>
  <c r="J126" i="1"/>
  <c r="K125" i="1"/>
  <c r="K126" i="1" s="1"/>
  <c r="J125" i="1"/>
  <c r="H124" i="1"/>
  <c r="K123" i="1"/>
  <c r="I123" i="1"/>
  <c r="H123" i="1"/>
  <c r="L123" i="1" s="1"/>
  <c r="I123" i="11" s="1"/>
  <c r="I122" i="1"/>
  <c r="I125" i="1" s="1"/>
  <c r="I126" i="1" s="1"/>
  <c r="H119" i="1"/>
  <c r="K109" i="1"/>
  <c r="K110" i="1" s="1"/>
  <c r="I109" i="1"/>
  <c r="I110" i="1" s="1"/>
  <c r="H109" i="1"/>
  <c r="J102" i="1"/>
  <c r="J109" i="1" s="1"/>
  <c r="J110" i="1" s="1"/>
  <c r="H101" i="1"/>
  <c r="H99" i="1"/>
  <c r="H98" i="1"/>
  <c r="H96" i="1"/>
  <c r="K88" i="1"/>
  <c r="J88" i="1"/>
  <c r="I88" i="1"/>
  <c r="H88" i="1"/>
  <c r="K82" i="1"/>
  <c r="J81" i="1"/>
  <c r="J80" i="1"/>
  <c r="J82" i="1" s="1"/>
  <c r="I82" i="1"/>
  <c r="H71" i="1"/>
  <c r="L71" i="1" s="1"/>
  <c r="I71" i="11" s="1"/>
  <c r="H70" i="1"/>
  <c r="H69" i="1"/>
  <c r="H68" i="1"/>
  <c r="H157" i="1" s="1"/>
  <c r="L157" i="1" s="1"/>
  <c r="K67" i="1"/>
  <c r="K84" i="1" s="1"/>
  <c r="K91" i="1" s="1"/>
  <c r="K118" i="1" s="1"/>
  <c r="K134" i="1" s="1"/>
  <c r="J64" i="1"/>
  <c r="I64" i="1"/>
  <c r="K63" i="1"/>
  <c r="J63" i="1"/>
  <c r="J65" i="1" s="1"/>
  <c r="I63" i="1"/>
  <c r="I65" i="1" s="1"/>
  <c r="H63" i="1"/>
  <c r="K61" i="1"/>
  <c r="K64" i="1" s="1"/>
  <c r="J61" i="1"/>
  <c r="I61" i="1"/>
  <c r="H61" i="1"/>
  <c r="H64" i="1" s="1"/>
  <c r="H113" i="1" s="1"/>
  <c r="L113" i="1" s="1"/>
  <c r="I113" i="11" s="1"/>
  <c r="K38" i="1"/>
  <c r="K36" i="1"/>
  <c r="K154" i="1" s="1"/>
  <c r="K159" i="1" s="1"/>
  <c r="J36" i="1"/>
  <c r="J154" i="1" s="1"/>
  <c r="J159" i="1" s="1"/>
  <c r="I36" i="1"/>
  <c r="H36" i="1"/>
  <c r="K26" i="1"/>
  <c r="F213" i="1"/>
  <c r="F214" i="1"/>
  <c r="F215" i="1"/>
  <c r="F212" i="1"/>
  <c r="F216" i="1" s="1"/>
  <c r="F198" i="1"/>
  <c r="F199" i="1"/>
  <c r="B199" i="11" s="1"/>
  <c r="F200" i="1"/>
  <c r="B200" i="11" s="1"/>
  <c r="F201" i="1"/>
  <c r="B201" i="11" s="1"/>
  <c r="F202" i="1"/>
  <c r="F203" i="1"/>
  <c r="B203" i="11" s="1"/>
  <c r="F204" i="1"/>
  <c r="F205" i="1"/>
  <c r="B205" i="11" s="1"/>
  <c r="F206" i="1"/>
  <c r="F197" i="1"/>
  <c r="F175" i="1"/>
  <c r="B175" i="11" s="1"/>
  <c r="F176" i="1"/>
  <c r="F177" i="1"/>
  <c r="F178" i="1"/>
  <c r="F179" i="1"/>
  <c r="B179" i="11" s="1"/>
  <c r="F180" i="1"/>
  <c r="B180" i="11" s="1"/>
  <c r="F181" i="1"/>
  <c r="B181" i="11" s="1"/>
  <c r="F182" i="1"/>
  <c r="F183" i="1"/>
  <c r="F184" i="1"/>
  <c r="F185" i="1"/>
  <c r="F186" i="1"/>
  <c r="F187" i="1"/>
  <c r="F188" i="1"/>
  <c r="F189" i="1"/>
  <c r="F190" i="1"/>
  <c r="F191" i="1"/>
  <c r="F192" i="1"/>
  <c r="B192" i="11" s="1"/>
  <c r="F193" i="1"/>
  <c r="B193" i="11" s="1"/>
  <c r="F174" i="1"/>
  <c r="B174" i="11" s="1"/>
  <c r="F163" i="1"/>
  <c r="F164" i="1"/>
  <c r="F165" i="1"/>
  <c r="F166" i="1"/>
  <c r="F167" i="1"/>
  <c r="F168" i="1"/>
  <c r="F169" i="1"/>
  <c r="F170" i="1"/>
  <c r="B170" i="11" s="1"/>
  <c r="F162" i="1"/>
  <c r="F153" i="1"/>
  <c r="B153" i="11" s="1"/>
  <c r="F154" i="1"/>
  <c r="B154" i="11" s="1"/>
  <c r="F155" i="1"/>
  <c r="F156" i="1"/>
  <c r="F157" i="1"/>
  <c r="F158" i="1"/>
  <c r="F152" i="1"/>
  <c r="F145" i="1"/>
  <c r="F146" i="1"/>
  <c r="F147" i="1"/>
  <c r="F148" i="1"/>
  <c r="F144" i="1"/>
  <c r="F136" i="1"/>
  <c r="F137" i="1"/>
  <c r="F138" i="1"/>
  <c r="F139" i="1"/>
  <c r="F135" i="1"/>
  <c r="F130" i="1"/>
  <c r="F131" i="1"/>
  <c r="F120" i="1"/>
  <c r="F121" i="1"/>
  <c r="F122" i="1"/>
  <c r="F124" i="1"/>
  <c r="F119" i="1"/>
  <c r="F112" i="1"/>
  <c r="F114" i="1"/>
  <c r="F115" i="1"/>
  <c r="F110" i="1"/>
  <c r="B110" i="11" s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93" i="1"/>
  <c r="B93" i="11" s="1"/>
  <c r="F69" i="1"/>
  <c r="B69" i="11" s="1"/>
  <c r="F70" i="1"/>
  <c r="F71" i="1"/>
  <c r="B71" i="11" s="1"/>
  <c r="F72" i="1"/>
  <c r="B72" i="11" s="1"/>
  <c r="F73" i="1"/>
  <c r="B73" i="11" s="1"/>
  <c r="F75" i="1"/>
  <c r="F76" i="1"/>
  <c r="B76" i="11" s="1"/>
  <c r="F77" i="1"/>
  <c r="F78" i="1"/>
  <c r="F79" i="1"/>
  <c r="F80" i="1"/>
  <c r="F81" i="1"/>
  <c r="F6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9" i="1"/>
  <c r="F28" i="1"/>
  <c r="F29" i="1"/>
  <c r="F30" i="1"/>
  <c r="F31" i="1"/>
  <c r="F32" i="1"/>
  <c r="F33" i="1"/>
  <c r="F34" i="1"/>
  <c r="F35" i="1"/>
  <c r="F27" i="1"/>
  <c r="F22" i="1"/>
  <c r="B22" i="11" s="1"/>
  <c r="F23" i="1"/>
  <c r="F24" i="1"/>
  <c r="B24" i="11" s="1"/>
  <c r="F25" i="1"/>
  <c r="F21" i="1"/>
  <c r="B21" i="11" s="1"/>
  <c r="F220" i="1"/>
  <c r="F149" i="1"/>
  <c r="F88" i="1"/>
  <c r="F67" i="1"/>
  <c r="F84" i="1" s="1"/>
  <c r="F91" i="1" s="1"/>
  <c r="F118" i="1" s="1"/>
  <c r="F134" i="1" s="1"/>
  <c r="F38" i="1"/>
  <c r="F36" i="1"/>
  <c r="F26" i="1"/>
  <c r="E220" i="1"/>
  <c r="D220" i="1"/>
  <c r="C220" i="1"/>
  <c r="B220" i="1"/>
  <c r="E216" i="1"/>
  <c r="D216" i="1"/>
  <c r="C216" i="1"/>
  <c r="B216" i="1"/>
  <c r="E207" i="1"/>
  <c r="D207" i="1"/>
  <c r="C207" i="1"/>
  <c r="B207" i="1"/>
  <c r="B206" i="1"/>
  <c r="B202" i="1"/>
  <c r="E194" i="1"/>
  <c r="C194" i="1"/>
  <c r="B185" i="1"/>
  <c r="B194" i="1" s="1"/>
  <c r="B178" i="1"/>
  <c r="E171" i="1"/>
  <c r="D171" i="1"/>
  <c r="C171" i="1"/>
  <c r="B168" i="1"/>
  <c r="B165" i="1"/>
  <c r="B164" i="1"/>
  <c r="B157" i="1"/>
  <c r="B156" i="1"/>
  <c r="C159" i="1"/>
  <c r="B152" i="1"/>
  <c r="B159" i="1" s="1"/>
  <c r="E149" i="1"/>
  <c r="D149" i="1"/>
  <c r="C149" i="1"/>
  <c r="B148" i="1"/>
  <c r="B146" i="1"/>
  <c r="B145" i="1"/>
  <c r="B144" i="1"/>
  <c r="B149" i="1" s="1"/>
  <c r="E141" i="1"/>
  <c r="D141" i="1"/>
  <c r="C140" i="1"/>
  <c r="C141" i="1" s="1"/>
  <c r="B139" i="1"/>
  <c r="B138" i="1"/>
  <c r="B135" i="1"/>
  <c r="B141" i="1" s="1"/>
  <c r="D125" i="1"/>
  <c r="D126" i="1" s="1"/>
  <c r="B124" i="1"/>
  <c r="E123" i="1"/>
  <c r="E125" i="1" s="1"/>
  <c r="E126" i="1" s="1"/>
  <c r="C123" i="1"/>
  <c r="B123" i="1"/>
  <c r="F123" i="1" s="1"/>
  <c r="B123" i="11" s="1"/>
  <c r="C122" i="1"/>
  <c r="C125" i="1" s="1"/>
  <c r="C126" i="1" s="1"/>
  <c r="B119" i="1"/>
  <c r="C110" i="1"/>
  <c r="E109" i="1"/>
  <c r="E110" i="1" s="1"/>
  <c r="C109" i="1"/>
  <c r="B108" i="1"/>
  <c r="D102" i="1"/>
  <c r="D109" i="1" s="1"/>
  <c r="D110" i="1" s="1"/>
  <c r="B101" i="1"/>
  <c r="B99" i="1"/>
  <c r="B98" i="1"/>
  <c r="B96" i="1"/>
  <c r="B95" i="1"/>
  <c r="B109" i="1"/>
  <c r="B110" i="1" s="1"/>
  <c r="E88" i="1"/>
  <c r="D88" i="1"/>
  <c r="C88" i="1"/>
  <c r="B88" i="1"/>
  <c r="E82" i="1"/>
  <c r="B82" i="1"/>
  <c r="D81" i="1"/>
  <c r="D80" i="1"/>
  <c r="D82" i="1" s="1"/>
  <c r="B71" i="1"/>
  <c r="B70" i="1"/>
  <c r="B69" i="1"/>
  <c r="B68" i="1"/>
  <c r="E67" i="1"/>
  <c r="E84" i="1" s="1"/>
  <c r="E91" i="1" s="1"/>
  <c r="E118" i="1" s="1"/>
  <c r="E134" i="1" s="1"/>
  <c r="E64" i="1"/>
  <c r="D64" i="1"/>
  <c r="C64" i="1"/>
  <c r="C65" i="1" s="1"/>
  <c r="C63" i="1"/>
  <c r="B63" i="1"/>
  <c r="B129" i="1" s="1"/>
  <c r="E61" i="1"/>
  <c r="D61" i="1"/>
  <c r="C61" i="1"/>
  <c r="B61" i="1"/>
  <c r="B64" i="1" s="1"/>
  <c r="B113" i="1" s="1"/>
  <c r="E38" i="1"/>
  <c r="E36" i="1"/>
  <c r="E154" i="1" s="1"/>
  <c r="E159" i="1" s="1"/>
  <c r="D36" i="1"/>
  <c r="C36" i="1"/>
  <c r="B36" i="1"/>
  <c r="B121" i="1" s="1"/>
  <c r="B125" i="1" s="1"/>
  <c r="B126" i="1" s="1"/>
  <c r="F126" i="1" s="1"/>
  <c r="B126" i="11" s="1"/>
  <c r="E26" i="1"/>
  <c r="B17" i="1"/>
  <c r="B3" i="1"/>
  <c r="A220" i="1"/>
  <c r="AY157" i="11" l="1"/>
  <c r="AV159" i="4"/>
  <c r="AZ218" i="11"/>
  <c r="AJ218" i="9"/>
  <c r="AL218" i="11" s="1"/>
  <c r="AL209" i="11"/>
  <c r="AY193" i="11"/>
  <c r="BF193" i="11" s="1"/>
  <c r="AW193" i="4"/>
  <c r="AY171" i="11"/>
  <c r="AY170" i="11"/>
  <c r="AJ209" i="4"/>
  <c r="AK194" i="11"/>
  <c r="AY156" i="11"/>
  <c r="AJ94" i="1"/>
  <c r="AW94" i="11" s="1"/>
  <c r="Z113" i="1"/>
  <c r="X207" i="1"/>
  <c r="W207" i="11" s="1"/>
  <c r="AJ175" i="1"/>
  <c r="AW175" i="11" s="1"/>
  <c r="AJ166" i="1"/>
  <c r="AW166" i="11" s="1"/>
  <c r="X109" i="1"/>
  <c r="W109" i="11" s="1"/>
  <c r="X111" i="1"/>
  <c r="W111" i="11" s="1"/>
  <c r="AH109" i="1"/>
  <c r="AJ101" i="1"/>
  <c r="AW101" i="11" s="1"/>
  <c r="AJ47" i="1"/>
  <c r="AW47" i="11" s="1"/>
  <c r="AJ122" i="1"/>
  <c r="AW122" i="11" s="1"/>
  <c r="U63" i="1"/>
  <c r="U82" i="1"/>
  <c r="X140" i="1"/>
  <c r="W140" i="11" s="1"/>
  <c r="AG74" i="1"/>
  <c r="AJ74" i="1" s="1"/>
  <c r="AW74" i="11" s="1"/>
  <c r="R159" i="1"/>
  <c r="P159" i="11" s="1"/>
  <c r="P153" i="11"/>
  <c r="R149" i="1"/>
  <c r="P149" i="11" s="1"/>
  <c r="AG111" i="1"/>
  <c r="R110" i="1"/>
  <c r="P110" i="11" s="1"/>
  <c r="AJ104" i="1"/>
  <c r="AW104" i="11" s="1"/>
  <c r="R109" i="1"/>
  <c r="P109" i="11" s="1"/>
  <c r="R125" i="1"/>
  <c r="P125" i="11" s="1"/>
  <c r="AF128" i="1"/>
  <c r="N65" i="1"/>
  <c r="AF69" i="1"/>
  <c r="AJ69" i="1" s="1"/>
  <c r="AW69" i="11" s="1"/>
  <c r="O82" i="1"/>
  <c r="AJ21" i="1"/>
  <c r="AW21" i="11" s="1"/>
  <c r="R74" i="1"/>
  <c r="P74" i="11" s="1"/>
  <c r="L207" i="1"/>
  <c r="I207" i="11" s="1"/>
  <c r="H110" i="1"/>
  <c r="H111" i="1"/>
  <c r="L109" i="1"/>
  <c r="I109" i="11" s="1"/>
  <c r="H125" i="1"/>
  <c r="AF71" i="1"/>
  <c r="AJ71" i="1" s="1"/>
  <c r="AW71" i="11" s="1"/>
  <c r="F207" i="1"/>
  <c r="B207" i="11" s="1"/>
  <c r="B197" i="11"/>
  <c r="F109" i="1"/>
  <c r="B109" i="11" s="1"/>
  <c r="B94" i="11"/>
  <c r="AF109" i="1"/>
  <c r="AG82" i="1"/>
  <c r="AG140" i="1"/>
  <c r="AJ140" i="1" s="1"/>
  <c r="AW140" i="11" s="1"/>
  <c r="F140" i="1"/>
  <c r="B140" i="11" s="1"/>
  <c r="AG141" i="1"/>
  <c r="AX13" i="11"/>
  <c r="Q13" i="11"/>
  <c r="X39" i="11"/>
  <c r="AV112" i="3"/>
  <c r="AU125" i="3"/>
  <c r="Q137" i="11"/>
  <c r="Q10" i="11"/>
  <c r="X180" i="11"/>
  <c r="X124" i="11"/>
  <c r="AV124" i="3"/>
  <c r="AX124" i="11" s="1"/>
  <c r="AX12" i="11"/>
  <c r="Q12" i="11"/>
  <c r="Q4" i="11"/>
  <c r="Q123" i="11"/>
  <c r="AX11" i="11"/>
  <c r="Q11" i="11"/>
  <c r="Q5" i="11"/>
  <c r="AX5" i="11"/>
  <c r="AJ194" i="11"/>
  <c r="AJ209" i="3"/>
  <c r="AX6" i="11"/>
  <c r="Q6" i="11"/>
  <c r="AT125" i="3"/>
  <c r="AV123" i="3"/>
  <c r="Q7" i="11"/>
  <c r="AX7" i="11"/>
  <c r="AV152" i="3"/>
  <c r="AX152" i="11" s="1"/>
  <c r="X181" i="11"/>
  <c r="AV181" i="3"/>
  <c r="AX181" i="11" s="1"/>
  <c r="AX8" i="11"/>
  <c r="Q8" i="11"/>
  <c r="Q9" i="11"/>
  <c r="AX9" i="11"/>
  <c r="AV140" i="3"/>
  <c r="AS141" i="3"/>
  <c r="N16" i="2"/>
  <c r="N21" i="2"/>
  <c r="N18" i="2"/>
  <c r="N17" i="2"/>
  <c r="N31" i="2"/>
  <c r="N19" i="2"/>
  <c r="O18" i="2"/>
  <c r="O31" i="2"/>
  <c r="O19" i="2"/>
  <c r="O16" i="2"/>
  <c r="O20" i="2"/>
  <c r="O17" i="2"/>
  <c r="O21" i="2"/>
  <c r="M17" i="2"/>
  <c r="M31" i="2"/>
  <c r="M18" i="2"/>
  <c r="M21" i="2"/>
  <c r="M16" i="2"/>
  <c r="G20" i="2"/>
  <c r="N20" i="2" s="1"/>
  <c r="X218" i="4"/>
  <c r="Y218" i="11" s="1"/>
  <c r="AP196" i="4"/>
  <c r="AR196" i="11" s="1"/>
  <c r="AR173" i="11"/>
  <c r="AY196" i="11"/>
  <c r="AY173" i="11"/>
  <c r="Q112" i="11"/>
  <c r="AX114" i="11"/>
  <c r="J112" i="11"/>
  <c r="J152" i="11"/>
  <c r="AX34" i="11"/>
  <c r="AX39" i="11"/>
  <c r="AX43" i="11"/>
  <c r="AX51" i="11"/>
  <c r="AX67" i="11"/>
  <c r="AX25" i="11"/>
  <c r="AX73" i="11"/>
  <c r="AM127" i="3"/>
  <c r="AM126" i="3"/>
  <c r="AX158" i="11"/>
  <c r="AX212" i="11"/>
  <c r="AX42" i="11"/>
  <c r="AX50" i="11"/>
  <c r="AN127" i="3"/>
  <c r="AN126" i="3"/>
  <c r="AP84" i="3"/>
  <c r="AQ67" i="11"/>
  <c r="AN111" i="3"/>
  <c r="AN110" i="3"/>
  <c r="AN116" i="3" s="1"/>
  <c r="AX57" i="11"/>
  <c r="AX58" i="11"/>
  <c r="Q67" i="11"/>
  <c r="Q121" i="11"/>
  <c r="J168" i="11"/>
  <c r="J178" i="11"/>
  <c r="J67" i="11"/>
  <c r="X67" i="11"/>
  <c r="AX215" i="11"/>
  <c r="AX22" i="11"/>
  <c r="X61" i="1"/>
  <c r="X64" i="1" s="1"/>
  <c r="W64" i="11" s="1"/>
  <c r="X216" i="1"/>
  <c r="W216" i="11" s="1"/>
  <c r="W212" i="11"/>
  <c r="AJ50" i="1"/>
  <c r="AW50" i="11" s="1"/>
  <c r="T65" i="1"/>
  <c r="AF61" i="1"/>
  <c r="AF64" i="1" s="1"/>
  <c r="AF36" i="1"/>
  <c r="AF63" i="1" s="1"/>
  <c r="T129" i="1"/>
  <c r="X36" i="1"/>
  <c r="AF17" i="1"/>
  <c r="AF3" i="1"/>
  <c r="AW3" i="11" s="1"/>
  <c r="H24" i="2"/>
  <c r="H33" i="2" s="1"/>
  <c r="AX199" i="11"/>
  <c r="AX40" i="11"/>
  <c r="AX44" i="11"/>
  <c r="AX56" i="11"/>
  <c r="AX60" i="11"/>
  <c r="AX78" i="11"/>
  <c r="AX169" i="11"/>
  <c r="AX115" i="11"/>
  <c r="AX200" i="11"/>
  <c r="AP171" i="3"/>
  <c r="AQ171" i="11" s="1"/>
  <c r="AQ163" i="11"/>
  <c r="AX79" i="11"/>
  <c r="AD194" i="1"/>
  <c r="AP194" i="11" s="1"/>
  <c r="AJ192" i="1"/>
  <c r="AW192" i="11" s="1"/>
  <c r="AC127" i="1"/>
  <c r="AI127" i="1" s="1"/>
  <c r="AD129" i="1"/>
  <c r="AP129" i="11" s="1"/>
  <c r="AI129" i="1"/>
  <c r="AI128" i="1"/>
  <c r="AD61" i="1"/>
  <c r="AD64" i="1" s="1"/>
  <c r="AP64" i="11" s="1"/>
  <c r="AD63" i="1"/>
  <c r="AP63" i="11"/>
  <c r="AD113" i="1"/>
  <c r="AP113" i="11" s="1"/>
  <c r="AC65" i="1"/>
  <c r="AD127" i="1"/>
  <c r="AP127" i="11" s="1"/>
  <c r="AI110" i="1"/>
  <c r="AD110" i="1"/>
  <c r="AP110" i="11" s="1"/>
  <c r="AI125" i="1"/>
  <c r="AI159" i="1"/>
  <c r="AD125" i="1"/>
  <c r="AP125" i="11" s="1"/>
  <c r="AP119" i="11"/>
  <c r="R207" i="1"/>
  <c r="P207" i="11" s="1"/>
  <c r="AI207" i="1"/>
  <c r="AW87" i="11"/>
  <c r="AJ88" i="1"/>
  <c r="AW88" i="11" s="1"/>
  <c r="R88" i="1"/>
  <c r="P88" i="11" s="1"/>
  <c r="AI88" i="1"/>
  <c r="AD82" i="1"/>
  <c r="AP82" i="11" s="1"/>
  <c r="AI82" i="1"/>
  <c r="AJ76" i="1"/>
  <c r="AW76" i="11" s="1"/>
  <c r="D12" i="2" s="1"/>
  <c r="N125" i="1"/>
  <c r="N126" i="1" s="1"/>
  <c r="R126" i="1" s="1"/>
  <c r="P126" i="11" s="1"/>
  <c r="R61" i="1"/>
  <c r="R111" i="1"/>
  <c r="P111" i="11" s="1"/>
  <c r="R63" i="1"/>
  <c r="P63" i="11" s="1"/>
  <c r="N113" i="1"/>
  <c r="R113" i="1" s="1"/>
  <c r="P113" i="11" s="1"/>
  <c r="L125" i="1"/>
  <c r="I125" i="11" s="1"/>
  <c r="H65" i="1"/>
  <c r="L61" i="1"/>
  <c r="L63" i="1"/>
  <c r="I63" i="11" s="1"/>
  <c r="AF123" i="1"/>
  <c r="AJ123" i="1" s="1"/>
  <c r="H129" i="1"/>
  <c r="L129" i="1" s="1"/>
  <c r="I129" i="11" s="1"/>
  <c r="F129" i="1"/>
  <c r="B129" i="11" s="1"/>
  <c r="F113" i="1"/>
  <c r="B113" i="11" s="1"/>
  <c r="F128" i="1"/>
  <c r="B128" i="11" s="1"/>
  <c r="F125" i="1"/>
  <c r="B125" i="11" s="1"/>
  <c r="B50" i="11"/>
  <c r="F61" i="1"/>
  <c r="F171" i="1"/>
  <c r="B171" i="11" s="1"/>
  <c r="AL110" i="3"/>
  <c r="AL111" i="3"/>
  <c r="AL127" i="3"/>
  <c r="AL126" i="3"/>
  <c r="AX94" i="11"/>
  <c r="W166" i="11"/>
  <c r="AX75" i="11"/>
  <c r="AX107" i="11"/>
  <c r="AX87" i="11"/>
  <c r="AX71" i="11"/>
  <c r="AX104" i="11"/>
  <c r="J71" i="11"/>
  <c r="AX197" i="11"/>
  <c r="AP61" i="3"/>
  <c r="AX72" i="11"/>
  <c r="Q181" i="11"/>
  <c r="AX187" i="11"/>
  <c r="J148" i="11"/>
  <c r="J146" i="11"/>
  <c r="J144" i="11"/>
  <c r="Q74" i="11"/>
  <c r="J94" i="11"/>
  <c r="X122" i="11"/>
  <c r="Q180" i="11"/>
  <c r="AX52" i="11"/>
  <c r="AX81" i="11"/>
  <c r="AX105" i="11"/>
  <c r="AX185" i="11"/>
  <c r="AX189" i="11"/>
  <c r="AX205" i="11"/>
  <c r="AX33" i="11"/>
  <c r="AX47" i="11"/>
  <c r="AX97" i="11"/>
  <c r="AP112" i="3"/>
  <c r="AQ112" i="11" s="1"/>
  <c r="C214" i="11"/>
  <c r="AX59" i="11"/>
  <c r="AP123" i="3"/>
  <c r="AX176" i="11"/>
  <c r="AX184" i="11"/>
  <c r="AP203" i="3"/>
  <c r="AX21" i="11"/>
  <c r="AX53" i="11"/>
  <c r="AX24" i="11"/>
  <c r="AP128" i="3"/>
  <c r="AQ128" i="11" s="1"/>
  <c r="AX23" i="11"/>
  <c r="AX54" i="11"/>
  <c r="C67" i="11"/>
  <c r="AX85" i="11"/>
  <c r="AX28" i="11"/>
  <c r="AX31" i="11"/>
  <c r="AX77" i="11"/>
  <c r="Q88" i="11"/>
  <c r="AX103" i="11"/>
  <c r="AX167" i="11"/>
  <c r="AP194" i="3"/>
  <c r="AQ194" i="11" s="1"/>
  <c r="AX191" i="11"/>
  <c r="AX48" i="11"/>
  <c r="AX29" i="11"/>
  <c r="X3" i="11"/>
  <c r="AX27" i="11"/>
  <c r="C43" i="11"/>
  <c r="AX45" i="11"/>
  <c r="AN63" i="3"/>
  <c r="AX76" i="11"/>
  <c r="AX86" i="11"/>
  <c r="AX166" i="11"/>
  <c r="AX192" i="11"/>
  <c r="AX182" i="11"/>
  <c r="AX136" i="11"/>
  <c r="AX120" i="11"/>
  <c r="C71" i="11"/>
  <c r="Q3" i="11"/>
  <c r="AX41" i="11"/>
  <c r="AP113" i="3"/>
  <c r="AQ113" i="11" s="1"/>
  <c r="AX69" i="11"/>
  <c r="C69" i="11"/>
  <c r="AL138" i="3"/>
  <c r="AL146" i="3"/>
  <c r="AP146" i="3" s="1"/>
  <c r="AQ146" i="11" s="1"/>
  <c r="AL139" i="3"/>
  <c r="AP139" i="3" s="1"/>
  <c r="AQ139" i="11" s="1"/>
  <c r="AL145" i="3"/>
  <c r="AL148" i="3"/>
  <c r="AP148" i="3" s="1"/>
  <c r="AQ148" i="11" s="1"/>
  <c r="AX74" i="11"/>
  <c r="C74" i="11"/>
  <c r="AX100" i="11"/>
  <c r="C123" i="11"/>
  <c r="AX93" i="11"/>
  <c r="AM141" i="3"/>
  <c r="AP140" i="3"/>
  <c r="AQ140" i="11" s="1"/>
  <c r="J96" i="11"/>
  <c r="AX96" i="11"/>
  <c r="X74" i="11"/>
  <c r="AX108" i="11"/>
  <c r="C108" i="11"/>
  <c r="C112" i="11"/>
  <c r="C124" i="11"/>
  <c r="AX95" i="11"/>
  <c r="J95" i="11"/>
  <c r="AX162" i="11"/>
  <c r="J81" i="11"/>
  <c r="AP216" i="3"/>
  <c r="AQ216" i="11" s="1"/>
  <c r="X17" i="11"/>
  <c r="AL63" i="3"/>
  <c r="AX70" i="11"/>
  <c r="X123" i="11"/>
  <c r="Q124" i="11"/>
  <c r="AX30" i="11"/>
  <c r="AX35" i="11"/>
  <c r="AM63" i="3"/>
  <c r="C70" i="11"/>
  <c r="C119" i="11"/>
  <c r="AP159" i="3"/>
  <c r="AQ159" i="11" s="1"/>
  <c r="C102" i="11"/>
  <c r="AX102" i="11"/>
  <c r="Q188" i="11"/>
  <c r="AX188" i="11"/>
  <c r="X207" i="11"/>
  <c r="Q119" i="11"/>
  <c r="J165" i="11"/>
  <c r="AX165" i="11"/>
  <c r="AX46" i="11"/>
  <c r="C101" i="11"/>
  <c r="AX206" i="11"/>
  <c r="AP36" i="3"/>
  <c r="AX32" i="11"/>
  <c r="AU159" i="3"/>
  <c r="J174" i="11"/>
  <c r="AP82" i="3"/>
  <c r="AQ82" i="11" s="1"/>
  <c r="Q17" i="11"/>
  <c r="AX99" i="11"/>
  <c r="C99" i="11"/>
  <c r="J123" i="11"/>
  <c r="AX131" i="11"/>
  <c r="Q174" i="11"/>
  <c r="AX201" i="11"/>
  <c r="AX202" i="11"/>
  <c r="AX186" i="11"/>
  <c r="AX190" i="11"/>
  <c r="AX98" i="11"/>
  <c r="AX122" i="11"/>
  <c r="C180" i="11"/>
  <c r="AX155" i="11"/>
  <c r="J180" i="11"/>
  <c r="AX55" i="11"/>
  <c r="C80" i="11"/>
  <c r="AX130" i="11"/>
  <c r="Q140" i="11"/>
  <c r="Q152" i="11"/>
  <c r="AX177" i="11"/>
  <c r="AX49" i="11"/>
  <c r="AX106" i="11"/>
  <c r="AM109" i="3"/>
  <c r="C174" i="11"/>
  <c r="AX203" i="11"/>
  <c r="C122" i="11"/>
  <c r="AP109" i="3"/>
  <c r="AQ109" i="11" s="1"/>
  <c r="J122" i="11"/>
  <c r="AX179" i="11"/>
  <c r="AX175" i="11"/>
  <c r="AX183" i="11"/>
  <c r="AX147" i="11"/>
  <c r="AI141" i="1"/>
  <c r="R141" i="1"/>
  <c r="P141" i="11" s="1"/>
  <c r="F82" i="1"/>
  <c r="B82" i="11" s="1"/>
  <c r="C82" i="1"/>
  <c r="AJ180" i="1"/>
  <c r="AW180" i="11" s="1"/>
  <c r="AH181" i="1"/>
  <c r="AJ181" i="1" s="1"/>
  <c r="AW181" i="11" s="1"/>
  <c r="R194" i="1"/>
  <c r="P194" i="11" s="1"/>
  <c r="D194" i="1"/>
  <c r="AJ213" i="1"/>
  <c r="AW213" i="11" s="1"/>
  <c r="AF216" i="1"/>
  <c r="AI216" i="1"/>
  <c r="AJ212" i="1"/>
  <c r="AF207" i="1"/>
  <c r="AJ174" i="1"/>
  <c r="AW174" i="11" s="1"/>
  <c r="AJ95" i="1"/>
  <c r="AW95" i="11" s="1"/>
  <c r="AI109" i="1"/>
  <c r="AJ203" i="1"/>
  <c r="AI63" i="1"/>
  <c r="AJ112" i="1"/>
  <c r="AW112" i="11" s="1"/>
  <c r="AJ42" i="1"/>
  <c r="AI61" i="1"/>
  <c r="AI64" i="1" s="1"/>
  <c r="AJ39" i="1"/>
  <c r="AW39" i="11" s="1"/>
  <c r="AJ36" i="1"/>
  <c r="AG63" i="1"/>
  <c r="AG65" i="1" s="1"/>
  <c r="AJ151" i="1"/>
  <c r="AJ161" i="1" s="1"/>
  <c r="AJ173" i="1" s="1"/>
  <c r="AJ196" i="1" s="1"/>
  <c r="AJ143" i="1"/>
  <c r="AI151" i="1"/>
  <c r="AI161" i="1" s="1"/>
  <c r="AI173" i="1" s="1"/>
  <c r="AI196" i="1" s="1"/>
  <c r="AI143" i="1"/>
  <c r="AH63" i="1"/>
  <c r="AG109" i="1"/>
  <c r="AC116" i="1"/>
  <c r="U116" i="1"/>
  <c r="Z116" i="1"/>
  <c r="R129" i="1"/>
  <c r="P129" i="11" s="1"/>
  <c r="O116" i="1"/>
  <c r="AD151" i="1"/>
  <c r="AD161" i="1" s="1"/>
  <c r="AD173" i="1" s="1"/>
  <c r="AD196" i="1" s="1"/>
  <c r="AD143" i="1"/>
  <c r="Z145" i="1"/>
  <c r="Z146" i="1"/>
  <c r="Z148" i="1"/>
  <c r="AA110" i="1"/>
  <c r="AA116" i="1" s="1"/>
  <c r="AA209" i="1" s="1"/>
  <c r="AA218" i="1" s="1"/>
  <c r="Z126" i="1"/>
  <c r="Z127" i="1"/>
  <c r="AC151" i="1"/>
  <c r="AC161" i="1" s="1"/>
  <c r="AC173" i="1" s="1"/>
  <c r="AC196" i="1" s="1"/>
  <c r="AC143" i="1"/>
  <c r="AB209" i="1"/>
  <c r="AB218" i="1" s="1"/>
  <c r="AC126" i="1"/>
  <c r="X151" i="1"/>
  <c r="X161" i="1" s="1"/>
  <c r="X173" i="1" s="1"/>
  <c r="X196" i="1" s="1"/>
  <c r="X143" i="1"/>
  <c r="T139" i="1"/>
  <c r="U153" i="1"/>
  <c r="T138" i="1"/>
  <c r="T164" i="1"/>
  <c r="T146" i="1"/>
  <c r="T68" i="1"/>
  <c r="T156" i="1" s="1"/>
  <c r="T145" i="1"/>
  <c r="T144" i="1"/>
  <c r="T178" i="1"/>
  <c r="T194" i="1" s="1"/>
  <c r="T148" i="1"/>
  <c r="T168" i="1"/>
  <c r="W143" i="1"/>
  <c r="W151" i="1"/>
  <c r="W161" i="1" s="1"/>
  <c r="W173" i="1" s="1"/>
  <c r="W196" i="1" s="1"/>
  <c r="T110" i="1"/>
  <c r="V110" i="1"/>
  <c r="AH110" i="1" s="1"/>
  <c r="AH116" i="1" s="1"/>
  <c r="V126" i="1"/>
  <c r="V132" i="1" s="1"/>
  <c r="V127" i="1"/>
  <c r="W126" i="1"/>
  <c r="W127" i="1"/>
  <c r="T121" i="1"/>
  <c r="U126" i="1"/>
  <c r="R151" i="1"/>
  <c r="R161" i="1" s="1"/>
  <c r="R173" i="1" s="1"/>
  <c r="R196" i="1" s="1"/>
  <c r="R143" i="1"/>
  <c r="N17" i="1"/>
  <c r="Q143" i="1"/>
  <c r="Q151" i="1"/>
  <c r="Q161" i="1" s="1"/>
  <c r="Q173" i="1" s="1"/>
  <c r="Q196" i="1" s="1"/>
  <c r="P132" i="1"/>
  <c r="P65" i="1"/>
  <c r="P116" i="1" s="1"/>
  <c r="Q65" i="1"/>
  <c r="Q111" i="1" s="1"/>
  <c r="Q116" i="1" s="1"/>
  <c r="O132" i="1"/>
  <c r="L141" i="1"/>
  <c r="I141" i="11" s="1"/>
  <c r="H141" i="1"/>
  <c r="L153" i="1"/>
  <c r="I153" i="11" s="1"/>
  <c r="L139" i="1"/>
  <c r="H164" i="1"/>
  <c r="L164" i="1" s="1"/>
  <c r="H144" i="1"/>
  <c r="H168" i="1"/>
  <c r="L168" i="1" s="1"/>
  <c r="H145" i="1"/>
  <c r="L145" i="1" s="1"/>
  <c r="H146" i="1"/>
  <c r="L146" i="1" s="1"/>
  <c r="I159" i="1"/>
  <c r="L68" i="1"/>
  <c r="L82" i="1" s="1"/>
  <c r="I82" i="11" s="1"/>
  <c r="L159" i="1"/>
  <c r="I159" i="11" s="1"/>
  <c r="L143" i="1"/>
  <c r="L151" i="1"/>
  <c r="L161" i="1" s="1"/>
  <c r="L173" i="1" s="1"/>
  <c r="L196" i="1" s="1"/>
  <c r="K111" i="1"/>
  <c r="K116" i="1" s="1"/>
  <c r="J116" i="1"/>
  <c r="K65" i="1"/>
  <c r="K127" i="1" s="1"/>
  <c r="K132" i="1" s="1"/>
  <c r="K209" i="1" s="1"/>
  <c r="K218" i="1" s="1"/>
  <c r="I116" i="1"/>
  <c r="H194" i="1"/>
  <c r="K151" i="1"/>
  <c r="K161" i="1" s="1"/>
  <c r="K173" i="1" s="1"/>
  <c r="K196" i="1" s="1"/>
  <c r="K143" i="1"/>
  <c r="I127" i="1"/>
  <c r="I132" i="1" s="1"/>
  <c r="J127" i="1"/>
  <c r="J132" i="1" s="1"/>
  <c r="L193" i="1"/>
  <c r="H82" i="1"/>
  <c r="H170" i="1"/>
  <c r="H156" i="1"/>
  <c r="L156" i="1" s="1"/>
  <c r="F194" i="1"/>
  <c r="B194" i="11" s="1"/>
  <c r="F63" i="1"/>
  <c r="F159" i="1"/>
  <c r="B159" i="11" s="1"/>
  <c r="F151" i="1"/>
  <c r="F161" i="1" s="1"/>
  <c r="F173" i="1" s="1"/>
  <c r="F196" i="1" s="1"/>
  <c r="F143" i="1"/>
  <c r="E143" i="1"/>
  <c r="E151" i="1"/>
  <c r="E161" i="1" s="1"/>
  <c r="E173" i="1" s="1"/>
  <c r="E196" i="1" s="1"/>
  <c r="B65" i="1"/>
  <c r="B171" i="1"/>
  <c r="C116" i="1"/>
  <c r="C132" i="1"/>
  <c r="D63" i="1"/>
  <c r="B132" i="1"/>
  <c r="E63" i="1"/>
  <c r="D154" i="1"/>
  <c r="D159" i="1" s="1"/>
  <c r="AV209" i="4" l="1"/>
  <c r="AV218" i="4" s="1"/>
  <c r="AY218" i="11" s="1"/>
  <c r="AY159" i="11"/>
  <c r="F19" i="2" s="1"/>
  <c r="M19" i="2" s="1"/>
  <c r="AZ209" i="11"/>
  <c r="AY194" i="11"/>
  <c r="F20" i="2" s="1"/>
  <c r="M20" i="2" s="1"/>
  <c r="AJ218" i="4"/>
  <c r="AK218" i="11" s="1"/>
  <c r="AK209" i="11"/>
  <c r="AG110" i="1"/>
  <c r="AP61" i="11"/>
  <c r="X110" i="1"/>
  <c r="W61" i="11"/>
  <c r="U65" i="1"/>
  <c r="U129" i="1"/>
  <c r="AG129" i="1" s="1"/>
  <c r="X129" i="1"/>
  <c r="W129" i="11" s="1"/>
  <c r="U132" i="1"/>
  <c r="AG126" i="1"/>
  <c r="AG132" i="1" s="1"/>
  <c r="D5" i="2"/>
  <c r="D7" i="2" s="1"/>
  <c r="AW17" i="11"/>
  <c r="R82" i="1"/>
  <c r="P82" i="11" s="1"/>
  <c r="R116" i="1"/>
  <c r="P116" i="11" s="1"/>
  <c r="N116" i="1"/>
  <c r="L194" i="1"/>
  <c r="I194" i="11" s="1"/>
  <c r="I193" i="11"/>
  <c r="H126" i="1"/>
  <c r="L126" i="1" s="1"/>
  <c r="I126" i="11" s="1"/>
  <c r="H127" i="1"/>
  <c r="L110" i="1"/>
  <c r="I110" i="11" s="1"/>
  <c r="AF110" i="1"/>
  <c r="C209" i="1"/>
  <c r="AJ61" i="1"/>
  <c r="AW61" i="11" s="1"/>
  <c r="AF65" i="1"/>
  <c r="C218" i="1"/>
  <c r="F141" i="1"/>
  <c r="B141" i="11" s="1"/>
  <c r="AV121" i="3"/>
  <c r="AV125" i="3" s="1"/>
  <c r="AR125" i="3"/>
  <c r="AJ209" i="11"/>
  <c r="AJ218" i="3"/>
  <c r="AJ218" i="11" s="1"/>
  <c r="C139" i="11"/>
  <c r="AV137" i="3"/>
  <c r="AX137" i="11" s="1"/>
  <c r="C153" i="11"/>
  <c r="AR3" i="3"/>
  <c r="AX3" i="11" s="1"/>
  <c r="AX10" i="11"/>
  <c r="C178" i="11"/>
  <c r="C145" i="11"/>
  <c r="C148" i="11"/>
  <c r="AV128" i="3"/>
  <c r="C138" i="11"/>
  <c r="AV180" i="3"/>
  <c r="AX180" i="11" s="1"/>
  <c r="AT194" i="3"/>
  <c r="AX4" i="11"/>
  <c r="AR17" i="3"/>
  <c r="AX17" i="11" s="1"/>
  <c r="C168" i="11"/>
  <c r="AV168" i="3"/>
  <c r="AT159" i="3"/>
  <c r="N22" i="2"/>
  <c r="O22" i="2"/>
  <c r="G22" i="2"/>
  <c r="G24" i="2" s="1"/>
  <c r="G40" i="2" s="1"/>
  <c r="J128" i="11"/>
  <c r="AX101" i="11"/>
  <c r="J113" i="11"/>
  <c r="J68" i="11"/>
  <c r="Q113" i="11"/>
  <c r="X113" i="11"/>
  <c r="AP126" i="3"/>
  <c r="AQ126" i="11" s="1"/>
  <c r="J63" i="11"/>
  <c r="J36" i="11"/>
  <c r="AP91" i="3"/>
  <c r="AQ84" i="11"/>
  <c r="C68" i="11"/>
  <c r="Q63" i="11"/>
  <c r="Q36" i="11"/>
  <c r="Q84" i="11"/>
  <c r="J84" i="11"/>
  <c r="Q207" i="11"/>
  <c r="Q202" i="11"/>
  <c r="E29" i="2"/>
  <c r="Q216" i="11"/>
  <c r="X84" i="11"/>
  <c r="J216" i="11"/>
  <c r="E28" i="2"/>
  <c r="J207" i="11"/>
  <c r="J202" i="11"/>
  <c r="AX84" i="11"/>
  <c r="Q109" i="11"/>
  <c r="Q102" i="11"/>
  <c r="X109" i="11"/>
  <c r="X101" i="11"/>
  <c r="AJ216" i="1"/>
  <c r="AW216" i="11" s="1"/>
  <c r="AW212" i="11"/>
  <c r="AF129" i="1"/>
  <c r="AJ129" i="1" s="1"/>
  <c r="AW129" i="11" s="1"/>
  <c r="AF154" i="1"/>
  <c r="AJ154" i="1" s="1"/>
  <c r="AW154" i="11" s="1"/>
  <c r="X154" i="1"/>
  <c r="W154" i="11" s="1"/>
  <c r="AJ63" i="1"/>
  <c r="AW63" i="11" s="1"/>
  <c r="AW36" i="11"/>
  <c r="X63" i="1"/>
  <c r="W36" i="11"/>
  <c r="T125" i="1"/>
  <c r="AF121" i="1"/>
  <c r="AJ121" i="1" s="1"/>
  <c r="AW121" i="11" s="1"/>
  <c r="X121" i="1"/>
  <c r="AF145" i="1"/>
  <c r="AJ145" i="1" s="1"/>
  <c r="AW145" i="11" s="1"/>
  <c r="X145" i="1"/>
  <c r="W145" i="11" s="1"/>
  <c r="T170" i="1"/>
  <c r="T171" i="1" s="1"/>
  <c r="AF68" i="1"/>
  <c r="X68" i="1"/>
  <c r="AF146" i="1"/>
  <c r="AJ146" i="1" s="1"/>
  <c r="AW146" i="11" s="1"/>
  <c r="X146" i="1"/>
  <c r="W146" i="11" s="1"/>
  <c r="AF164" i="1"/>
  <c r="X164" i="1"/>
  <c r="X144" i="1"/>
  <c r="AF144" i="1"/>
  <c r="U159" i="1"/>
  <c r="X153" i="1"/>
  <c r="AG153" i="1"/>
  <c r="X139" i="1"/>
  <c r="AF139" i="1"/>
  <c r="AJ139" i="1" s="1"/>
  <c r="AW139" i="11" s="1"/>
  <c r="X156" i="1"/>
  <c r="W156" i="11" s="1"/>
  <c r="AF156" i="1"/>
  <c r="T82" i="1"/>
  <c r="AF168" i="1"/>
  <c r="AJ168" i="1" s="1"/>
  <c r="AW168" i="11" s="1"/>
  <c r="X168" i="1"/>
  <c r="W168" i="11" s="1"/>
  <c r="AF178" i="1"/>
  <c r="X178" i="1"/>
  <c r="T141" i="1"/>
  <c r="X138" i="1"/>
  <c r="W138" i="11" s="1"/>
  <c r="AF138" i="1"/>
  <c r="AJ138" i="1" s="1"/>
  <c r="T157" i="1"/>
  <c r="T159" i="1" s="1"/>
  <c r="AF148" i="1"/>
  <c r="AJ148" i="1" s="1"/>
  <c r="AW148" i="11" s="1"/>
  <c r="X148" i="1"/>
  <c r="W148" i="11" s="1"/>
  <c r="X63" i="11"/>
  <c r="X36" i="11"/>
  <c r="H40" i="2"/>
  <c r="H36" i="2"/>
  <c r="X216" i="11"/>
  <c r="E30" i="2"/>
  <c r="D31" i="2" s="1"/>
  <c r="E12" i="2"/>
  <c r="K12" i="2" s="1"/>
  <c r="AP207" i="3"/>
  <c r="AQ207" i="11" s="1"/>
  <c r="AQ203" i="11"/>
  <c r="AP64" i="3"/>
  <c r="AQ64" i="11" s="1"/>
  <c r="AQ61" i="11"/>
  <c r="AP63" i="3"/>
  <c r="AQ36" i="11"/>
  <c r="AD65" i="1"/>
  <c r="AP65" i="11" s="1"/>
  <c r="AD111" i="1"/>
  <c r="AI111" i="1"/>
  <c r="AI116" i="1" s="1"/>
  <c r="AJ109" i="1"/>
  <c r="AW109" i="11" s="1"/>
  <c r="AC132" i="1"/>
  <c r="AD126" i="1"/>
  <c r="AI126" i="1"/>
  <c r="AJ207" i="1"/>
  <c r="AW207" i="11" s="1"/>
  <c r="D21" i="2" s="1"/>
  <c r="AW203" i="11"/>
  <c r="AX216" i="11"/>
  <c r="AX214" i="11"/>
  <c r="C216" i="11"/>
  <c r="E27" i="2"/>
  <c r="N132" i="1"/>
  <c r="R127" i="1"/>
  <c r="AF113" i="1"/>
  <c r="AJ113" i="1" s="1"/>
  <c r="AW113" i="11" s="1"/>
  <c r="R64" i="1"/>
  <c r="P61" i="11"/>
  <c r="L64" i="1"/>
  <c r="I61" i="11"/>
  <c r="H132" i="1"/>
  <c r="L127" i="1"/>
  <c r="H116" i="1"/>
  <c r="L111" i="1"/>
  <c r="B63" i="11"/>
  <c r="AW123" i="11"/>
  <c r="F64" i="1"/>
  <c r="B64" i="11" s="1"/>
  <c r="B61" i="11"/>
  <c r="F127" i="1"/>
  <c r="B127" i="11" s="1"/>
  <c r="Q64" i="11"/>
  <c r="Q61" i="11"/>
  <c r="J64" i="11"/>
  <c r="J61" i="11"/>
  <c r="AL116" i="3"/>
  <c r="AM111" i="3"/>
  <c r="AP111" i="3" s="1"/>
  <c r="AQ111" i="11" s="1"/>
  <c r="AM110" i="3"/>
  <c r="AS116" i="3" s="1"/>
  <c r="AP127" i="3"/>
  <c r="AQ127" i="11" s="1"/>
  <c r="AP125" i="3"/>
  <c r="AQ125" i="11" s="1"/>
  <c r="AQ123" i="11"/>
  <c r="Q110" i="11"/>
  <c r="J110" i="11"/>
  <c r="Q145" i="11"/>
  <c r="Q139" i="11"/>
  <c r="AV148" i="3"/>
  <c r="Q146" i="11"/>
  <c r="AX80" i="11"/>
  <c r="E11" i="2" s="1"/>
  <c r="X64" i="11"/>
  <c r="X61" i="11"/>
  <c r="X168" i="11"/>
  <c r="X148" i="11"/>
  <c r="X146" i="11"/>
  <c r="X145" i="11"/>
  <c r="X139" i="11"/>
  <c r="AX112" i="11"/>
  <c r="AX88" i="11"/>
  <c r="Q154" i="11"/>
  <c r="J193" i="11"/>
  <c r="J153" i="11"/>
  <c r="Q125" i="11"/>
  <c r="C36" i="11"/>
  <c r="C64" i="11"/>
  <c r="C61" i="11"/>
  <c r="X154" i="11"/>
  <c r="C84" i="11"/>
  <c r="C207" i="11"/>
  <c r="C206" i="11"/>
  <c r="AN65" i="3"/>
  <c r="AN129" i="3"/>
  <c r="AN132" i="3" s="1"/>
  <c r="AN209" i="3" s="1"/>
  <c r="AN218" i="3" s="1"/>
  <c r="AX207" i="11"/>
  <c r="E21" i="2" s="1"/>
  <c r="AX140" i="11"/>
  <c r="C141" i="11"/>
  <c r="C135" i="11"/>
  <c r="C109" i="11"/>
  <c r="C95" i="11"/>
  <c r="AX135" i="11"/>
  <c r="AX119" i="11"/>
  <c r="J109" i="11"/>
  <c r="C110" i="11"/>
  <c r="AL149" i="3"/>
  <c r="AP145" i="3"/>
  <c r="C146" i="11"/>
  <c r="AL65" i="3"/>
  <c r="AL129" i="3"/>
  <c r="AX123" i="11"/>
  <c r="AM129" i="3"/>
  <c r="AM132" i="3" s="1"/>
  <c r="AM65" i="3"/>
  <c r="C121" i="11"/>
  <c r="X193" i="11"/>
  <c r="C156" i="11"/>
  <c r="AL141" i="3"/>
  <c r="AP138" i="3"/>
  <c r="AX174" i="11"/>
  <c r="C113" i="11"/>
  <c r="C144" i="11"/>
  <c r="X128" i="11"/>
  <c r="J129" i="11"/>
  <c r="J154" i="11"/>
  <c r="AX109" i="11"/>
  <c r="C128" i="11"/>
  <c r="C154" i="11"/>
  <c r="J139" i="11"/>
  <c r="Q128" i="11"/>
  <c r="AH194" i="1"/>
  <c r="AI65" i="1"/>
  <c r="AJ128" i="1"/>
  <c r="AW128" i="11" s="1"/>
  <c r="AI132" i="1"/>
  <c r="AI209" i="1" s="1"/>
  <c r="AI218" i="1" s="1"/>
  <c r="AH65" i="1"/>
  <c r="AH132" i="1"/>
  <c r="AC209" i="1"/>
  <c r="AC218" i="1" s="1"/>
  <c r="J209" i="1"/>
  <c r="J218" i="1" s="1"/>
  <c r="Z149" i="1"/>
  <c r="Z132" i="1"/>
  <c r="Z209" i="1" s="1"/>
  <c r="Z218" i="1" s="1"/>
  <c r="T149" i="1"/>
  <c r="V116" i="1"/>
  <c r="V209" i="1" s="1"/>
  <c r="V218" i="1" s="1"/>
  <c r="T116" i="1"/>
  <c r="W132" i="1"/>
  <c r="W209" i="1" s="1"/>
  <c r="W218" i="1" s="1"/>
  <c r="N164" i="1"/>
  <c r="O159" i="1"/>
  <c r="O209" i="1" s="1"/>
  <c r="O218" i="1" s="1"/>
  <c r="N139" i="1"/>
  <c r="N138" i="1"/>
  <c r="N141" i="1" s="1"/>
  <c r="N68" i="1"/>
  <c r="N178" i="1"/>
  <c r="N148" i="1"/>
  <c r="N149" i="1" s="1"/>
  <c r="N146" i="1"/>
  <c r="N168" i="1"/>
  <c r="N145" i="1"/>
  <c r="N144" i="1"/>
  <c r="P209" i="1"/>
  <c r="P218" i="1" s="1"/>
  <c r="Q127" i="1"/>
  <c r="Q132" i="1" s="1"/>
  <c r="Q209" i="1" s="1"/>
  <c r="Q218" i="1" s="1"/>
  <c r="H171" i="1"/>
  <c r="L170" i="1"/>
  <c r="L171" i="1" s="1"/>
  <c r="H149" i="1"/>
  <c r="L144" i="1"/>
  <c r="L149" i="1" s="1"/>
  <c r="I209" i="1"/>
  <c r="I218" i="1" s="1"/>
  <c r="H159" i="1"/>
  <c r="D65" i="1"/>
  <c r="D116" i="1" s="1"/>
  <c r="D127" i="1"/>
  <c r="D132" i="1" s="1"/>
  <c r="D209" i="1" s="1"/>
  <c r="D218" i="1" s="1"/>
  <c r="E65" i="1"/>
  <c r="E111" i="1" s="1"/>
  <c r="E116" i="1" s="1"/>
  <c r="M22" i="2" l="1"/>
  <c r="G36" i="2"/>
  <c r="G33" i="2"/>
  <c r="AY209" i="11"/>
  <c r="F22" i="2"/>
  <c r="F24" i="2" s="1"/>
  <c r="J170" i="11"/>
  <c r="E5" i="2"/>
  <c r="E7" i="2" s="1"/>
  <c r="J156" i="11"/>
  <c r="J157" i="11"/>
  <c r="AR68" i="3"/>
  <c r="AR82" i="3" s="1"/>
  <c r="AR193" i="3"/>
  <c r="AV193" i="3" s="1"/>
  <c r="U209" i="1"/>
  <c r="U218" i="1" s="1"/>
  <c r="W110" i="11"/>
  <c r="X116" i="1"/>
  <c r="W116" i="11" s="1"/>
  <c r="AF141" i="1"/>
  <c r="AJ64" i="1"/>
  <c r="AW64" i="11" s="1"/>
  <c r="H209" i="1"/>
  <c r="H218" i="1" s="1"/>
  <c r="AX121" i="11"/>
  <c r="AV153" i="3"/>
  <c r="AS159" i="3"/>
  <c r="AV144" i="3"/>
  <c r="AR149" i="3"/>
  <c r="AV178" i="3"/>
  <c r="AV138" i="3"/>
  <c r="AV164" i="3"/>
  <c r="AX164" i="11" s="1"/>
  <c r="AS132" i="3"/>
  <c r="AS209" i="3" s="1"/>
  <c r="AS218" i="3" s="1"/>
  <c r="AV113" i="3"/>
  <c r="AX113" i="11" s="1"/>
  <c r="AV146" i="3"/>
  <c r="AX146" i="11" s="1"/>
  <c r="AU132" i="3"/>
  <c r="AV145" i="3"/>
  <c r="AX145" i="11" s="1"/>
  <c r="C157" i="11"/>
  <c r="AV139" i="3"/>
  <c r="AV154" i="3"/>
  <c r="AX154" i="11" s="1"/>
  <c r="C170" i="11"/>
  <c r="J82" i="11"/>
  <c r="C193" i="11"/>
  <c r="Q126" i="11"/>
  <c r="J12" i="2"/>
  <c r="Q91" i="11"/>
  <c r="J141" i="11"/>
  <c r="J138" i="11"/>
  <c r="X91" i="11"/>
  <c r="C125" i="11"/>
  <c r="J171" i="11"/>
  <c r="J164" i="11"/>
  <c r="AP118" i="3"/>
  <c r="AQ91" i="11"/>
  <c r="AT116" i="3"/>
  <c r="J21" i="2"/>
  <c r="J149" i="11"/>
  <c r="J145" i="11"/>
  <c r="J65" i="11"/>
  <c r="AX91" i="11"/>
  <c r="C82" i="11"/>
  <c r="J91" i="11"/>
  <c r="J11" i="2"/>
  <c r="K11" i="2"/>
  <c r="X127" i="1"/>
  <c r="W127" i="11" s="1"/>
  <c r="AF127" i="1"/>
  <c r="AJ127" i="1" s="1"/>
  <c r="AW127" i="11" s="1"/>
  <c r="W121" i="11"/>
  <c r="X125" i="1"/>
  <c r="W125" i="11" s="1"/>
  <c r="AF125" i="1"/>
  <c r="T126" i="1"/>
  <c r="W63" i="11"/>
  <c r="X65" i="1"/>
  <c r="W65" i="11" s="1"/>
  <c r="AJ125" i="1"/>
  <c r="AW125" i="11" s="1"/>
  <c r="D16" i="2" s="1"/>
  <c r="AJ141" i="1"/>
  <c r="AW141" i="11" s="1"/>
  <c r="AW138" i="11"/>
  <c r="AJ144" i="1"/>
  <c r="AF149" i="1"/>
  <c r="W164" i="11"/>
  <c r="W68" i="11"/>
  <c r="X82" i="1"/>
  <c r="W82" i="11" s="1"/>
  <c r="AK193" i="1"/>
  <c r="AJ68" i="1"/>
  <c r="AF82" i="1"/>
  <c r="AJ178" i="1"/>
  <c r="AF194" i="1"/>
  <c r="AF157" i="1"/>
  <c r="AJ157" i="1" s="1"/>
  <c r="AW157" i="11" s="1"/>
  <c r="X157" i="1"/>
  <c r="W157" i="11" s="1"/>
  <c r="X141" i="1"/>
  <c r="W141" i="11" s="1"/>
  <c r="W139" i="11"/>
  <c r="AF170" i="1"/>
  <c r="AJ170" i="1" s="1"/>
  <c r="AW170" i="11" s="1"/>
  <c r="X170" i="1"/>
  <c r="W170" i="11" s="1"/>
  <c r="W178" i="11"/>
  <c r="X194" i="1"/>
  <c r="AJ164" i="1"/>
  <c r="AJ153" i="1"/>
  <c r="AG159" i="1"/>
  <c r="X149" i="1"/>
  <c r="W149" i="11" s="1"/>
  <c r="W144" i="11"/>
  <c r="AJ156" i="1"/>
  <c r="AW156" i="11" s="1"/>
  <c r="W153" i="11"/>
  <c r="E31" i="2"/>
  <c r="AX128" i="11"/>
  <c r="X65" i="11"/>
  <c r="AX63" i="11"/>
  <c r="AX36" i="11"/>
  <c r="AP65" i="3"/>
  <c r="AQ65" i="11" s="1"/>
  <c r="AQ63" i="11"/>
  <c r="AP141" i="3"/>
  <c r="AQ141" i="11" s="1"/>
  <c r="AQ138" i="11"/>
  <c r="AP149" i="3"/>
  <c r="AQ149" i="11" s="1"/>
  <c r="AQ145" i="11"/>
  <c r="AP111" i="11"/>
  <c r="AD116" i="1"/>
  <c r="AP116" i="11" s="1"/>
  <c r="AP126" i="11"/>
  <c r="AD132" i="1"/>
  <c r="P64" i="11"/>
  <c r="R65" i="1"/>
  <c r="P65" i="11" s="1"/>
  <c r="P127" i="11"/>
  <c r="R132" i="1"/>
  <c r="I111" i="11"/>
  <c r="L116" i="1"/>
  <c r="I116" i="11" s="1"/>
  <c r="I127" i="11"/>
  <c r="L132" i="1"/>
  <c r="I132" i="11" s="1"/>
  <c r="I64" i="11"/>
  <c r="L65" i="1"/>
  <c r="I65" i="11" s="1"/>
  <c r="F132" i="1"/>
  <c r="B116" i="1"/>
  <c r="B209" i="1" s="1"/>
  <c r="B218" i="1" s="1"/>
  <c r="AF111" i="1"/>
  <c r="F111" i="1"/>
  <c r="B111" i="11" s="1"/>
  <c r="F65" i="1"/>
  <c r="Q65" i="11"/>
  <c r="AX64" i="11"/>
  <c r="AX61" i="11"/>
  <c r="X125" i="11"/>
  <c r="X121" i="11"/>
  <c r="J125" i="11"/>
  <c r="J121" i="11"/>
  <c r="J127" i="11"/>
  <c r="J111" i="11"/>
  <c r="J194" i="11"/>
  <c r="X129" i="11"/>
  <c r="X111" i="11"/>
  <c r="C91" i="11"/>
  <c r="C65" i="11"/>
  <c r="C63" i="11"/>
  <c r="Q129" i="11"/>
  <c r="C194" i="11"/>
  <c r="C171" i="11"/>
  <c r="C164" i="11"/>
  <c r="Q144" i="11"/>
  <c r="C126" i="11"/>
  <c r="AP129" i="3"/>
  <c r="AL132" i="3"/>
  <c r="AL209" i="3" s="1"/>
  <c r="AL218" i="3" s="1"/>
  <c r="C149" i="11"/>
  <c r="Q164" i="11"/>
  <c r="AM116" i="3"/>
  <c r="AM209" i="3" s="1"/>
  <c r="AM218" i="3" s="1"/>
  <c r="AP110" i="3"/>
  <c r="Q168" i="11"/>
  <c r="AX168" i="11"/>
  <c r="C159" i="11"/>
  <c r="X153" i="11"/>
  <c r="Q153" i="11"/>
  <c r="X170" i="11"/>
  <c r="X157" i="11"/>
  <c r="X110" i="11"/>
  <c r="C129" i="11"/>
  <c r="C111" i="11"/>
  <c r="Q148" i="11"/>
  <c r="AX148" i="11"/>
  <c r="Q178" i="11"/>
  <c r="X126" i="11"/>
  <c r="AX139" i="11"/>
  <c r="X164" i="11"/>
  <c r="AX125" i="11"/>
  <c r="E16" i="2" s="1"/>
  <c r="AH209" i="1"/>
  <c r="AH218" i="1" s="1"/>
  <c r="AG116" i="1"/>
  <c r="AJ110" i="1"/>
  <c r="AW110" i="11" s="1"/>
  <c r="N194" i="1"/>
  <c r="N170" i="1"/>
  <c r="N171" i="1" s="1"/>
  <c r="N157" i="1"/>
  <c r="N156" i="1"/>
  <c r="N159" i="1" s="1"/>
  <c r="N82" i="1"/>
  <c r="E127" i="1"/>
  <c r="E132" i="1" s="1"/>
  <c r="E209" i="1" s="1"/>
  <c r="E218" i="1" s="1"/>
  <c r="F40" i="2" l="1"/>
  <c r="F33" i="2"/>
  <c r="F36" i="2"/>
  <c r="AR156" i="3"/>
  <c r="AR157" i="3"/>
  <c r="AV157" i="3" s="1"/>
  <c r="AX157" i="11" s="1"/>
  <c r="J159" i="11"/>
  <c r="AR170" i="3"/>
  <c r="AJ65" i="1"/>
  <c r="AW65" i="11" s="1"/>
  <c r="AF171" i="1"/>
  <c r="L209" i="1"/>
  <c r="I209" i="11" s="1"/>
  <c r="AV141" i="3"/>
  <c r="AV156" i="3"/>
  <c r="AR159" i="3"/>
  <c r="AU116" i="3"/>
  <c r="AU209" i="3" s="1"/>
  <c r="AU218" i="3" s="1"/>
  <c r="AR141" i="3"/>
  <c r="AV126" i="3"/>
  <c r="AR132" i="3"/>
  <c r="AT132" i="3"/>
  <c r="AT209" i="3" s="1"/>
  <c r="AT218" i="3" s="1"/>
  <c r="AR194" i="3"/>
  <c r="AV149" i="3"/>
  <c r="AV68" i="3"/>
  <c r="AV82" i="3" s="1"/>
  <c r="AV194" i="3"/>
  <c r="AV127" i="3"/>
  <c r="AV129" i="3"/>
  <c r="AX129" i="11" s="1"/>
  <c r="AV110" i="3"/>
  <c r="AX110" i="11" s="1"/>
  <c r="AR116" i="3"/>
  <c r="X127" i="11"/>
  <c r="J118" i="11"/>
  <c r="AX118" i="11"/>
  <c r="AP134" i="3"/>
  <c r="AQ118" i="11"/>
  <c r="X118" i="11"/>
  <c r="Q118" i="11"/>
  <c r="AF159" i="1"/>
  <c r="X159" i="1"/>
  <c r="W159" i="11" s="1"/>
  <c r="T132" i="1"/>
  <c r="T209" i="1" s="1"/>
  <c r="T218" i="1" s="1"/>
  <c r="X126" i="1"/>
  <c r="AF126" i="1"/>
  <c r="W194" i="11"/>
  <c r="AW153" i="11"/>
  <c r="AJ159" i="1"/>
  <c r="AW159" i="11" s="1"/>
  <c r="AW164" i="11"/>
  <c r="AJ171" i="1"/>
  <c r="AW171" i="11" s="1"/>
  <c r="AG209" i="1"/>
  <c r="AG218" i="1" s="1"/>
  <c r="AW144" i="11"/>
  <c r="AJ149" i="1"/>
  <c r="AW149" i="11" s="1"/>
  <c r="D18" i="2" s="1"/>
  <c r="AW178" i="11"/>
  <c r="AJ194" i="1"/>
  <c r="AW194" i="11" s="1"/>
  <c r="D20" i="2" s="1"/>
  <c r="AW68" i="11"/>
  <c r="AJ82" i="1"/>
  <c r="AW82" i="11" s="1"/>
  <c r="X171" i="1"/>
  <c r="W171" i="11" s="1"/>
  <c r="J16" i="2"/>
  <c r="AP132" i="3"/>
  <c r="AQ132" i="11" s="1"/>
  <c r="AQ129" i="11"/>
  <c r="AX65" i="11"/>
  <c r="AP132" i="11"/>
  <c r="AD209" i="1"/>
  <c r="P132" i="11"/>
  <c r="R209" i="1"/>
  <c r="L218" i="1"/>
  <c r="I218" i="11" s="1"/>
  <c r="AJ111" i="1"/>
  <c r="AW111" i="11" s="1"/>
  <c r="AF116" i="1"/>
  <c r="B132" i="11"/>
  <c r="F116" i="1"/>
  <c r="B116" i="11" s="1"/>
  <c r="B65" i="11"/>
  <c r="Q116" i="11"/>
  <c r="AP116" i="3"/>
  <c r="AQ116" i="11" s="1"/>
  <c r="AQ110" i="11"/>
  <c r="J126" i="11"/>
  <c r="J116" i="11"/>
  <c r="Q141" i="11"/>
  <c r="Q138" i="11"/>
  <c r="Q82" i="11"/>
  <c r="Q68" i="11"/>
  <c r="X82" i="11"/>
  <c r="X68" i="11"/>
  <c r="X194" i="11"/>
  <c r="X178" i="11"/>
  <c r="X149" i="11"/>
  <c r="X144" i="11"/>
  <c r="X141" i="11"/>
  <c r="X138" i="11"/>
  <c r="X132" i="11"/>
  <c r="X116" i="11"/>
  <c r="C118" i="11"/>
  <c r="C116" i="11"/>
  <c r="Q157" i="11"/>
  <c r="AX153" i="11"/>
  <c r="AX178" i="11"/>
  <c r="Q149" i="11"/>
  <c r="Q156" i="11"/>
  <c r="X171" i="11"/>
  <c r="N209" i="1"/>
  <c r="N218" i="1" s="1"/>
  <c r="AV159" i="3" l="1"/>
  <c r="D10" i="2"/>
  <c r="D6" i="2" s="1"/>
  <c r="BD193" i="11"/>
  <c r="AV132" i="3"/>
  <c r="AX126" i="11"/>
  <c r="AV111" i="3"/>
  <c r="AV170" i="3"/>
  <c r="AV171" i="3" s="1"/>
  <c r="AR171" i="3"/>
  <c r="AR209" i="3" s="1"/>
  <c r="AR218" i="3" s="1"/>
  <c r="Q134" i="11"/>
  <c r="Q143" i="11"/>
  <c r="AQ134" i="11"/>
  <c r="AP143" i="3"/>
  <c r="AQ143" i="11" s="1"/>
  <c r="AP151" i="3"/>
  <c r="X134" i="11"/>
  <c r="X143" i="11"/>
  <c r="J134" i="11"/>
  <c r="J143" i="11"/>
  <c r="AX134" i="11"/>
  <c r="AX143" i="11"/>
  <c r="AJ126" i="1"/>
  <c r="AF132" i="1"/>
  <c r="AF209" i="1" s="1"/>
  <c r="AF218" i="1" s="1"/>
  <c r="W126" i="11"/>
  <c r="X132" i="1"/>
  <c r="W132" i="11" s="1"/>
  <c r="D19" i="2"/>
  <c r="D13" i="2"/>
  <c r="AJ116" i="1"/>
  <c r="AW116" i="11" s="1"/>
  <c r="AD218" i="1"/>
  <c r="AP218" i="11" s="1"/>
  <c r="AP209" i="11"/>
  <c r="R218" i="1"/>
  <c r="P218" i="11" s="1"/>
  <c r="P209" i="11"/>
  <c r="F209" i="1"/>
  <c r="Q111" i="11"/>
  <c r="J132" i="11"/>
  <c r="AP209" i="3"/>
  <c r="AQ209" i="11" s="1"/>
  <c r="AP218" i="3"/>
  <c r="AQ218" i="11" s="1"/>
  <c r="Q132" i="11"/>
  <c r="Q127" i="11"/>
  <c r="AX141" i="11"/>
  <c r="AX138" i="11"/>
  <c r="AX149" i="11"/>
  <c r="AX144" i="11"/>
  <c r="AX82" i="11"/>
  <c r="AX68" i="11"/>
  <c r="E10" i="2" s="1"/>
  <c r="AW193" i="3"/>
  <c r="AX193" i="11"/>
  <c r="BE193" i="11" s="1"/>
  <c r="Q171" i="11"/>
  <c r="Q170" i="11"/>
  <c r="Q194" i="11"/>
  <c r="Q193" i="11"/>
  <c r="X159" i="11"/>
  <c r="X156" i="11"/>
  <c r="AX194" i="11"/>
  <c r="C134" i="11"/>
  <c r="C143" i="11"/>
  <c r="C127" i="11"/>
  <c r="K20" i="2" l="1"/>
  <c r="K19" i="2"/>
  <c r="K16" i="2"/>
  <c r="K31" i="2"/>
  <c r="K21" i="2"/>
  <c r="K18" i="2"/>
  <c r="AX171" i="11"/>
  <c r="AV116" i="3"/>
  <c r="AX116" i="11" s="1"/>
  <c r="AX111" i="11"/>
  <c r="AX170" i="11"/>
  <c r="E20" i="2"/>
  <c r="J218" i="11"/>
  <c r="X151" i="11"/>
  <c r="AP161" i="3"/>
  <c r="AQ151" i="11"/>
  <c r="Q151" i="11"/>
  <c r="J151" i="11"/>
  <c r="AX151" i="11"/>
  <c r="X209" i="1"/>
  <c r="X218" i="1" s="1"/>
  <c r="W218" i="11" s="1"/>
  <c r="AW126" i="11"/>
  <c r="AJ132" i="1"/>
  <c r="J10" i="2"/>
  <c r="K10" i="2"/>
  <c r="E13" i="2"/>
  <c r="E6" i="2"/>
  <c r="E18" i="2"/>
  <c r="F218" i="1"/>
  <c r="B218" i="11" s="1"/>
  <c r="B209" i="11"/>
  <c r="AX132" i="11"/>
  <c r="AX127" i="11"/>
  <c r="Q218" i="11"/>
  <c r="Q159" i="11"/>
  <c r="AX159" i="11"/>
  <c r="AX156" i="11"/>
  <c r="X218" i="11"/>
  <c r="C151" i="11"/>
  <c r="C132" i="11"/>
  <c r="J209" i="11" l="1"/>
  <c r="W209" i="11"/>
  <c r="E19" i="2"/>
  <c r="L19" i="2" s="1"/>
  <c r="E17" i="2"/>
  <c r="L17" i="2" s="1"/>
  <c r="AV209" i="3"/>
  <c r="AV218" i="3" s="1"/>
  <c r="L18" i="2"/>
  <c r="L21" i="2"/>
  <c r="L31" i="2"/>
  <c r="L16" i="2"/>
  <c r="J20" i="2"/>
  <c r="L20" i="2"/>
  <c r="AX161" i="11"/>
  <c r="J161" i="11"/>
  <c r="Q161" i="11"/>
  <c r="AP173" i="3"/>
  <c r="AQ161" i="11"/>
  <c r="X161" i="11"/>
  <c r="AW132" i="11"/>
  <c r="D17" i="2" s="1"/>
  <c r="AJ209" i="1"/>
  <c r="J18" i="2"/>
  <c r="X209" i="11"/>
  <c r="Q209" i="11"/>
  <c r="C161" i="11"/>
  <c r="C218" i="11"/>
  <c r="C209" i="11"/>
  <c r="D22" i="2" l="1"/>
  <c r="D24" i="2" s="1"/>
  <c r="D40" i="2" s="1"/>
  <c r="D41" i="2" s="1"/>
  <c r="D42" i="2" s="1"/>
  <c r="K17" i="2"/>
  <c r="K22" i="2" s="1"/>
  <c r="J19" i="2"/>
  <c r="E22" i="2"/>
  <c r="AX209" i="11"/>
  <c r="L22" i="2"/>
  <c r="J17" i="2"/>
  <c r="X196" i="11"/>
  <c r="X173" i="11"/>
  <c r="AP196" i="3"/>
  <c r="AQ196" i="11" s="1"/>
  <c r="AQ173" i="11"/>
  <c r="J196" i="11"/>
  <c r="J173" i="11"/>
  <c r="Q196" i="11"/>
  <c r="Q173" i="11"/>
  <c r="AX196" i="11"/>
  <c r="AX173" i="11"/>
  <c r="AJ218" i="1"/>
  <c r="AW218" i="11" s="1"/>
  <c r="AW209" i="11"/>
  <c r="AX218" i="11"/>
  <c r="C196" i="11"/>
  <c r="C173" i="11"/>
  <c r="D33" i="2" l="1"/>
  <c r="D36" i="2"/>
  <c r="J22" i="2"/>
  <c r="E24" i="2"/>
  <c r="E40" i="2" s="1"/>
  <c r="E39" i="2"/>
  <c r="E41" i="2" l="1"/>
  <c r="F39" i="2" s="1"/>
  <c r="F41" i="2" s="1"/>
  <c r="G39" i="2" s="1"/>
  <c r="G41" i="2" s="1"/>
  <c r="E36" i="2"/>
  <c r="E33" i="2"/>
  <c r="E42" i="2" l="1"/>
  <c r="F42" i="2"/>
  <c r="H39" i="2"/>
  <c r="H41" i="2" s="1"/>
  <c r="G42" i="2"/>
  <c r="H42" i="2" l="1"/>
  <c r="I39" i="2"/>
  <c r="I41" i="2" s="1"/>
  <c r="I42" i="2" s="1"/>
</calcChain>
</file>

<file path=xl/sharedStrings.xml><?xml version="1.0" encoding="utf-8"?>
<sst xmlns="http://schemas.openxmlformats.org/spreadsheetml/2006/main" count="3347" uniqueCount="343">
  <si>
    <t>Mater Academy - System</t>
  </si>
  <si>
    <t>Statewide Base (w/ District Adj)</t>
  </si>
  <si>
    <t>Total Students (FTEs)</t>
  </si>
  <si>
    <t>Kinder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</si>
  <si>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</si>
  <si>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</si>
  <si>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</si>
  <si>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</si>
  <si>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</si>
  <si>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</si>
  <si>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</si>
  <si>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</si>
  <si>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</si>
  <si>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</si>
  <si>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</si>
  <si>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</si>
  <si>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 xml:space="preserve">Funding Based off of Prior Year Numbers </t>
  </si>
  <si>
    <t>SPED Count</t>
  </si>
  <si>
    <t>EL Count</t>
  </si>
  <si>
    <t>GATE Count</t>
  </si>
  <si>
    <t xml:space="preserve">At-Risk </t>
  </si>
  <si>
    <t>FRL %</t>
  </si>
  <si>
    <t>Teaching Staff</t>
  </si>
  <si>
    <t>Classroom Teachers</t>
  </si>
  <si>
    <t>SPED Teachers</t>
  </si>
  <si>
    <t>Art Teacher</t>
  </si>
  <si>
    <t>Music</t>
  </si>
  <si>
    <t>PE Teacher</t>
  </si>
  <si>
    <t>Technology (STEM)</t>
  </si>
  <si>
    <t>Spanish / Language</t>
  </si>
  <si>
    <t>Additional Elective Teachers</t>
  </si>
  <si>
    <t>Gate Teacher</t>
  </si>
  <si>
    <t xml:space="preserve">     Total Teaching Staff</t>
  </si>
  <si>
    <t>Admin &amp; Support Staff</t>
  </si>
  <si>
    <t>Principal</t>
  </si>
  <si>
    <t>Assistant Principal</t>
  </si>
  <si>
    <t>ELL Coordinator</t>
  </si>
  <si>
    <t>Dean</t>
  </si>
  <si>
    <t>Curriculum Coach</t>
  </si>
  <si>
    <t>School Counselor</t>
  </si>
  <si>
    <t>Social Worker/ Mental Health</t>
  </si>
  <si>
    <t>Office Manager/Banker</t>
  </si>
  <si>
    <t>Registrar</t>
  </si>
  <si>
    <t>Clinic Aide/ FASA</t>
  </si>
  <si>
    <t>Receptionist</t>
  </si>
  <si>
    <t>Teacher Assistants</t>
  </si>
  <si>
    <t>Custodial / Security</t>
  </si>
  <si>
    <t>Cafeteria Personel</t>
  </si>
  <si>
    <t>Parent Engagement Coordinator</t>
  </si>
  <si>
    <t>SPED Facilitator</t>
  </si>
  <si>
    <t>Speech Pathologist</t>
  </si>
  <si>
    <t>School Psychologist</t>
  </si>
  <si>
    <t>OT / PT</t>
  </si>
  <si>
    <t>School Nurse</t>
  </si>
  <si>
    <t>On Campus Sub</t>
  </si>
  <si>
    <t>Other: IT</t>
  </si>
  <si>
    <t xml:space="preserve">     Total Admin &amp; Support Staff</t>
  </si>
  <si>
    <t>Total # Teachers</t>
  </si>
  <si>
    <t>Total # Admin &amp; Support</t>
  </si>
  <si>
    <t>Total Staff</t>
  </si>
  <si>
    <t>Per Pupil  (PCFP Funding)</t>
  </si>
  <si>
    <t>ELL</t>
  </si>
  <si>
    <t>GATE</t>
  </si>
  <si>
    <t>At-Risk</t>
  </si>
  <si>
    <t>Aux</t>
  </si>
  <si>
    <t>Local SPED</t>
  </si>
  <si>
    <t xml:space="preserve">State SPED </t>
  </si>
  <si>
    <t>Federal SPED</t>
  </si>
  <si>
    <t>Interest Income</t>
  </si>
  <si>
    <t>Grants</t>
  </si>
  <si>
    <t>Donations</t>
  </si>
  <si>
    <t>Student Generated (SGF)</t>
  </si>
  <si>
    <t>NSLP - Breakfast</t>
  </si>
  <si>
    <t>NSLP - Lunch</t>
  </si>
  <si>
    <t>Use of beginning Funds</t>
  </si>
  <si>
    <t>Borrowings</t>
  </si>
  <si>
    <t>Project Funds</t>
  </si>
  <si>
    <t>Asst. Principal</t>
  </si>
  <si>
    <t>Social Worker/Mental Health</t>
  </si>
  <si>
    <t>Student Support</t>
  </si>
  <si>
    <t>Office Mgr. &amp; Registrar</t>
  </si>
  <si>
    <t>Office Asst / Receptionist</t>
  </si>
  <si>
    <t>Parent Engagment Corr.</t>
  </si>
  <si>
    <t>Custodial/Security</t>
  </si>
  <si>
    <t>NSLP Personnel</t>
  </si>
  <si>
    <t>SPED OT / PT</t>
  </si>
  <si>
    <t>Speech Path</t>
  </si>
  <si>
    <t>School Psych</t>
  </si>
  <si>
    <t>IT</t>
  </si>
  <si>
    <t>PERS - 36.75%</t>
  </si>
  <si>
    <t>Ins/ Taxes / Other Benefits</t>
  </si>
  <si>
    <t xml:space="preserve">Retention </t>
  </si>
  <si>
    <t>Holiday</t>
  </si>
  <si>
    <t>Stipends/Bonus</t>
  </si>
  <si>
    <t>Tuition Reimbursements</t>
  </si>
  <si>
    <t>Instructional Coach</t>
  </si>
  <si>
    <t>Teachers</t>
  </si>
  <si>
    <t>Instructional Asst.</t>
  </si>
  <si>
    <t>Stipends</t>
  </si>
  <si>
    <t xml:space="preserve">Consumables </t>
  </si>
  <si>
    <t>Dual Enrollment - Student Fees/Textbooks</t>
  </si>
  <si>
    <t>Cash instead of Zion Lease - Curriculum/Tech/Furniture</t>
  </si>
  <si>
    <t>Classroom Supplies</t>
  </si>
  <si>
    <t>Copier Supplies</t>
  </si>
  <si>
    <t>SPED Supplies</t>
  </si>
  <si>
    <t>Office Supplies</t>
  </si>
  <si>
    <t>Nursing Supplies</t>
  </si>
  <si>
    <t>Athletics/Extra Curricular</t>
  </si>
  <si>
    <t>Custodial Supplies</t>
  </si>
  <si>
    <t>Contracted Services: Other Professional Services</t>
  </si>
  <si>
    <t>Contracted Services: SPED</t>
  </si>
  <si>
    <t xml:space="preserve">Contracted Services: Subsitute Services </t>
  </si>
  <si>
    <t xml:space="preserve">Contracted Services: </t>
  </si>
  <si>
    <t xml:space="preserve">Affiliation Fee - Inc. </t>
  </si>
  <si>
    <t>Affiliation Fee - Professional Development</t>
  </si>
  <si>
    <t xml:space="preserve">Professional Development </t>
  </si>
  <si>
    <t>Management Fee (Academica Nevada)</t>
  </si>
  <si>
    <t>Payroll Services</t>
  </si>
  <si>
    <t>Audit/Tax</t>
  </si>
  <si>
    <t>Legal Fees</t>
  </si>
  <si>
    <t xml:space="preserve">IT Services </t>
  </si>
  <si>
    <t>IT Set-up Fees</t>
  </si>
  <si>
    <t xml:space="preserve">State Administrative Fee </t>
  </si>
  <si>
    <t>Communications (phone &amp; Internet)</t>
  </si>
  <si>
    <t>Postage</t>
  </si>
  <si>
    <t>Website</t>
  </si>
  <si>
    <t>Copier / Printing</t>
  </si>
  <si>
    <t>Infinite Campus</t>
  </si>
  <si>
    <t>Insurances</t>
  </si>
  <si>
    <t xml:space="preserve">NSLP - Breakfast </t>
  </si>
  <si>
    <t xml:space="preserve">NSLP - Lunch </t>
  </si>
  <si>
    <t>Advertising/Marketing</t>
  </si>
  <si>
    <t xml:space="preserve">Travel </t>
  </si>
  <si>
    <t>Background and Fingerprinting</t>
  </si>
  <si>
    <t>Dues and Fees</t>
  </si>
  <si>
    <t>Contracted Services: Graduation</t>
  </si>
  <si>
    <t>Loan Repayments</t>
  </si>
  <si>
    <t>Cap Lease - Interest</t>
  </si>
  <si>
    <t>Cap Lease - Principal</t>
  </si>
  <si>
    <t>Cap Lease - Buyout</t>
  </si>
  <si>
    <t>SGF Expenditures</t>
  </si>
  <si>
    <t>Misc. Purchases</t>
  </si>
  <si>
    <t>Contingencies/Other Purchases</t>
  </si>
  <si>
    <t>Electricity</t>
  </si>
  <si>
    <t>Natural Gas</t>
  </si>
  <si>
    <t>Water / Sewer</t>
  </si>
  <si>
    <t>Garbage/Disposal</t>
  </si>
  <si>
    <t>Fire and Security alarms</t>
  </si>
  <si>
    <t>Contracted Janitorial Services</t>
  </si>
  <si>
    <t>Facility Maintenance/ Repairs/ Capital Outlay</t>
  </si>
  <si>
    <t>Snow removal</t>
  </si>
  <si>
    <t>Lawn Care</t>
  </si>
  <si>
    <t>AC Maintenance &amp; Repair</t>
  </si>
  <si>
    <t>Scheduled Lease Payment</t>
  </si>
  <si>
    <t>Scheduled Bond Payment - Principal</t>
  </si>
  <si>
    <t>Scheduled Bond Payment - Interest</t>
  </si>
  <si>
    <t>HOA/Parking/ Other</t>
  </si>
  <si>
    <t>Operating</t>
  </si>
  <si>
    <t>SPED</t>
  </si>
  <si>
    <t>NSLP</t>
  </si>
  <si>
    <t>Other</t>
  </si>
  <si>
    <t>FY26- Mtn</t>
  </si>
  <si>
    <t>FY26- Bon</t>
  </si>
  <si>
    <t>Mtn (FY26)</t>
  </si>
  <si>
    <t>Bon (FY26)</t>
  </si>
  <si>
    <t>FY26- East</t>
  </si>
  <si>
    <t>East (FY26)</t>
  </si>
  <si>
    <t>Cactus (FY26)</t>
  </si>
  <si>
    <t>FY26- Cactus</t>
  </si>
  <si>
    <t>System (FY26)</t>
  </si>
  <si>
    <t>FY26- Sys</t>
  </si>
  <si>
    <t>FY26 - Central</t>
  </si>
  <si>
    <t>Central (FY26)</t>
  </si>
  <si>
    <t>East</t>
  </si>
  <si>
    <t>FY26</t>
  </si>
  <si>
    <t>FY27</t>
  </si>
  <si>
    <t>FY28</t>
  </si>
  <si>
    <t>FY29</t>
  </si>
  <si>
    <t>FY30</t>
  </si>
  <si>
    <t>Cactus</t>
  </si>
  <si>
    <t>Financial Forecast</t>
  </si>
  <si>
    <t>Budgeted</t>
  </si>
  <si>
    <t>Projected</t>
  </si>
  <si>
    <t>Fiscal Year</t>
  </si>
  <si>
    <t>2025-2026</t>
  </si>
  <si>
    <t>2026-2027</t>
  </si>
  <si>
    <t>2027-2028</t>
  </si>
  <si>
    <t>2028-2029</t>
  </si>
  <si>
    <t>2029-2030</t>
  </si>
  <si>
    <r>
      <t xml:space="preserve">Actual/Projected Enrollment 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</si>
  <si>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t>Average State Revenue per Student</t>
  </si>
  <si>
    <t>Average Federal Revenue per Student</t>
  </si>
  <si>
    <t>Revenues</t>
  </si>
  <si>
    <t>State Revenue</t>
  </si>
  <si>
    <t>Federal Revenue</t>
  </si>
  <si>
    <t>Other Revenue</t>
  </si>
  <si>
    <t>Total Revenues</t>
  </si>
  <si>
    <t>Expenses</t>
  </si>
  <si>
    <t xml:space="preserve">Salaries and Wages </t>
  </si>
  <si>
    <t xml:space="preserve">Benefits and Related </t>
  </si>
  <si>
    <t>Materials Equipment and Supplies</t>
  </si>
  <si>
    <t xml:space="preserve">Purchased Services </t>
  </si>
  <si>
    <t>General Operations and Other</t>
  </si>
  <si>
    <t>Facilities and Building Expenditures</t>
  </si>
  <si>
    <r>
      <t xml:space="preserve">Total Expenses </t>
    </r>
    <r>
      <rPr>
        <b/>
        <vertAlign val="superscript"/>
        <sz val="11"/>
        <color theme="1"/>
        <rFont val="Aptos Narrow"/>
        <family val="2"/>
        <scheme val="minor"/>
      </rPr>
      <t>(2)</t>
    </r>
  </si>
  <si>
    <t>Net Available for Debt Service</t>
  </si>
  <si>
    <r>
      <t xml:space="preserve">Total Net Debt Service Payments </t>
    </r>
    <r>
      <rPr>
        <b/>
        <vertAlign val="superscript"/>
        <sz val="11"/>
        <color theme="1"/>
        <rFont val="Aptos Narrow"/>
        <family val="2"/>
        <scheme val="minor"/>
      </rPr>
      <t>(3)</t>
    </r>
  </si>
  <si>
    <t>Debt Service Coverage (Annual Debt Service)</t>
  </si>
  <si>
    <r>
      <t xml:space="preserve">Maximum Annual Debt Service </t>
    </r>
    <r>
      <rPr>
        <vertAlign val="superscript"/>
        <sz val="11"/>
        <color theme="1"/>
        <rFont val="Aptos Narrow"/>
        <family val="2"/>
        <scheme val="minor"/>
      </rPr>
      <t>(4)</t>
    </r>
  </si>
  <si>
    <t>Debt Service Coverage (MADS)</t>
  </si>
  <si>
    <t>Days Cash on Hand Calculation</t>
  </si>
  <si>
    <t>Surplus / (Deficit) Net of Debt Service</t>
  </si>
  <si>
    <r>
      <t xml:space="preserve">Ending Unrestricted Cash </t>
    </r>
    <r>
      <rPr>
        <b/>
        <vertAlign val="superscript"/>
        <sz val="11"/>
        <color theme="1"/>
        <rFont val="Aptos Narrow"/>
        <family val="2"/>
        <scheme val="minor"/>
      </rPr>
      <t>(5)</t>
    </r>
  </si>
  <si>
    <t xml:space="preserve">Days Cash on Hand </t>
  </si>
  <si>
    <t>Assumptions:</t>
  </si>
  <si>
    <t>Average Annual Growth Rates:</t>
  </si>
  <si>
    <t>Footnotes:</t>
  </si>
  <si>
    <t>1. Provided by Academy. FY 2025 based on budgeted enrollment, not actual enrollment.</t>
  </si>
  <si>
    <t xml:space="preserve">2. Depreciation excluded from total expenses. </t>
  </si>
  <si>
    <t xml:space="preserve">3. Debt service payments reflects monthly payments to the trustee. </t>
  </si>
  <si>
    <t>4. MADS is calculated using combined semi-annual fiscal year payments on the Bonds.</t>
  </si>
  <si>
    <t xml:space="preserve">5. Beginning cash as of June 30, 2024. </t>
  </si>
  <si>
    <t>Mtn (FY27)</t>
  </si>
  <si>
    <t>East (FY27)</t>
  </si>
  <si>
    <t>Cactus (FY27)</t>
  </si>
  <si>
    <t>Central (FY27)</t>
  </si>
  <si>
    <t>FY27- Mtn</t>
  </si>
  <si>
    <t>Mater Academy of Nevada - Mt. Vista</t>
  </si>
  <si>
    <t>Mater Academy of Nevada - Bonanza</t>
  </si>
  <si>
    <t>Series 2018AB Lease Schedule</t>
  </si>
  <si>
    <t>Series 2020AB Lease Schedule</t>
  </si>
  <si>
    <t>Interest</t>
  </si>
  <si>
    <t>Total Debt Service</t>
  </si>
  <si>
    <t>Total Loan Payments:</t>
  </si>
  <si>
    <t>MADS:</t>
  </si>
  <si>
    <t>Mt. Vista</t>
  </si>
  <si>
    <t>Bonanza</t>
  </si>
  <si>
    <t>PERS - 37.25%</t>
  </si>
  <si>
    <t>FY27- Bon</t>
  </si>
  <si>
    <t>FY27- East</t>
  </si>
  <si>
    <t>FY27- Cactus</t>
  </si>
  <si>
    <t>FY27 - Central</t>
  </si>
  <si>
    <t>FY27- Sys</t>
  </si>
  <si>
    <t>Mtn (FY28)</t>
  </si>
  <si>
    <t>FY28- Mtn</t>
  </si>
  <si>
    <t>FY28- Bon</t>
  </si>
  <si>
    <t>East (FY28)</t>
  </si>
  <si>
    <t>FY28- East</t>
  </si>
  <si>
    <t>Cactus (FY28)</t>
  </si>
  <si>
    <t>FY28- Cactus</t>
  </si>
  <si>
    <t>Central (FY28)</t>
  </si>
  <si>
    <t>FY28 - Central</t>
  </si>
  <si>
    <t>PERS - 37.75%</t>
  </si>
  <si>
    <t>Mtn (FY29)</t>
  </si>
  <si>
    <t>FY29- Mtn</t>
  </si>
  <si>
    <t>Bon (FY29)</t>
  </si>
  <si>
    <t>FY29- Bon</t>
  </si>
  <si>
    <t>Cactus (FY29)</t>
  </si>
  <si>
    <t>FY29- Cactus</t>
  </si>
  <si>
    <t>Central (FY29)</t>
  </si>
  <si>
    <t>FY29 - Central</t>
  </si>
  <si>
    <t>FY29- Sys</t>
  </si>
  <si>
    <t>PERS - 38.25%</t>
  </si>
  <si>
    <t>Mtn (FY30)</t>
  </si>
  <si>
    <t>Bon (FY30)</t>
  </si>
  <si>
    <t>FY30- Bon</t>
  </si>
  <si>
    <t>East (FY30)</t>
  </si>
  <si>
    <t>FY30- East</t>
  </si>
  <si>
    <t>Cactus (FY30)</t>
  </si>
  <si>
    <t>FY30- Cactus</t>
  </si>
  <si>
    <t>Central (FY30)</t>
  </si>
  <si>
    <t>FY30 - Central</t>
  </si>
  <si>
    <t>System (FY30)</t>
  </si>
  <si>
    <t>PERS - 38.75%</t>
  </si>
  <si>
    <t>Lease Payment (Cactus Campus)</t>
  </si>
  <si>
    <t>Series 2018 (Mtn. Vista)</t>
  </si>
  <si>
    <t>Series 2020 (Bonanza)</t>
  </si>
  <si>
    <t>Series 2024 (East)</t>
  </si>
  <si>
    <t>Series 2025A&amp;B</t>
  </si>
  <si>
    <t>State Revenue per Student: 1.50%</t>
  </si>
  <si>
    <t>Grant</t>
  </si>
  <si>
    <t>Federal Revenue per Student: 0.9%</t>
  </si>
  <si>
    <t>Salary &amp; Wages Expense: 1.0%</t>
  </si>
  <si>
    <t>Beginning Cash and Receivables - All Funds</t>
  </si>
  <si>
    <t xml:space="preserve">Mater - System </t>
  </si>
  <si>
    <t xml:space="preserve">PERS </t>
  </si>
  <si>
    <t>Mater Academy of Nevada - Cactus Park</t>
  </si>
  <si>
    <t>Series 2025AB</t>
  </si>
  <si>
    <t>Estimated Monthly Payments</t>
  </si>
  <si>
    <t>30 Year</t>
  </si>
  <si>
    <t>35 Year</t>
  </si>
  <si>
    <t>Estimated TIC: 6.11%</t>
  </si>
  <si>
    <t>Estimated TIC: 6.19%</t>
  </si>
  <si>
    <t>Total 
Debt Service</t>
  </si>
  <si>
    <t>Difference</t>
  </si>
  <si>
    <t>Total:</t>
  </si>
  <si>
    <t xml:space="preserve">Note: Interest rates as of June 20, 2025. For purposes of illustration only. </t>
  </si>
  <si>
    <t xml:space="preserve"> (FY27) Vegas Valley</t>
  </si>
  <si>
    <t>FY27- VV</t>
  </si>
  <si>
    <t>FY31</t>
  </si>
  <si>
    <t>FY32</t>
  </si>
  <si>
    <t>FY33</t>
  </si>
  <si>
    <t>FY29- VV</t>
  </si>
  <si>
    <t xml:space="preserve"> (FY29) Vegas Valley</t>
  </si>
  <si>
    <t>FY30- VV</t>
  </si>
  <si>
    <t>PERS - 39.25%</t>
  </si>
  <si>
    <t>FY31- Sys</t>
  </si>
  <si>
    <t>System (FY31)</t>
  </si>
  <si>
    <t>Central (FY31)</t>
  </si>
  <si>
    <t>FY31 - Central</t>
  </si>
  <si>
    <t>FY31- VV</t>
  </si>
  <si>
    <t xml:space="preserve"> (FY31) Vegas Valley</t>
  </si>
  <si>
    <t>Cactus (FY31)</t>
  </si>
  <si>
    <t>FY31- Cactus</t>
  </si>
  <si>
    <t>FY31- East</t>
  </si>
  <si>
    <t>East (FY31)</t>
  </si>
  <si>
    <t>FY31- Bon</t>
  </si>
  <si>
    <t>Bon (FY31)</t>
  </si>
  <si>
    <t>Mtn (FY31)</t>
  </si>
  <si>
    <t>FY31- Mtn</t>
  </si>
  <si>
    <t>Lease Payments (Vegas Valley)</t>
  </si>
  <si>
    <t xml:space="preserve"> (FY32) Vegas Valley</t>
  </si>
  <si>
    <t>Sahara (FY27)</t>
  </si>
  <si>
    <t>FY27- Sahara</t>
  </si>
  <si>
    <t>Mater Academy of Nevada - East</t>
  </si>
  <si>
    <t>Series 2024AB Lease Schedule</t>
  </si>
  <si>
    <t>Series 2025AB Lease Schedule</t>
  </si>
  <si>
    <t>MADS Systemwide</t>
  </si>
  <si>
    <t>Sahara (FY28)</t>
  </si>
  <si>
    <t>FY28- Sahara</t>
  </si>
  <si>
    <t>Sahara (FY29)</t>
  </si>
  <si>
    <t>FY29- Sahara</t>
  </si>
  <si>
    <t>East (FY29)</t>
  </si>
  <si>
    <t>FY29- East</t>
  </si>
  <si>
    <t>System (FY29)</t>
  </si>
  <si>
    <t>System (FY28)</t>
  </si>
  <si>
    <t>FY28- Sys</t>
  </si>
  <si>
    <t>Sahara (FY30)</t>
  </si>
  <si>
    <t>FY30- Sahara</t>
  </si>
  <si>
    <t>FY30- Mtn</t>
  </si>
  <si>
    <t>Sahara (FY31)</t>
  </si>
  <si>
    <t>FY31- Sahara</t>
  </si>
  <si>
    <t xml:space="preserve"> (FY30) Vegas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</si>
</sst>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0.00\ &quot;x&quot;"/>
    <numFmt numFmtId="169" formatCode="mm/dd/yy;@"/>
    <numFmt numFmtId="170" formatCode="_(&quot;$&quot;* #,##0_);_(&quot;$&quot;* \(#,##0\);_(&quot;$&quot;* #,##0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FF"/>
      <name val="Aptos Narrow"/>
      <family val="2"/>
      <scheme val="minor"/>
    </font>
    <font>
      <sz val="9"/>
      <color rgb="FF0000FF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Arial"/>
      <family val="2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E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2" applyNumberFormat="1" applyFont="1" applyFill="1" applyBorder="1" applyAlignment="1">
      <alignment horizontal="right"/>
    </xf>
    <xf numFmtId="0" fontId="4" fillId="0" borderId="2" xfId="2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/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/>
    <xf numFmtId="0" fontId="6" fillId="0" borderId="2" xfId="0" applyFont="1" applyBorder="1"/>
    <xf numFmtId="0" fontId="4" fillId="0" borderId="2" xfId="0" applyFont="1" applyBorder="1" applyAlignment="1">
      <alignment horizontal="left"/>
    </xf>
    <xf numFmtId="0" fontId="6" fillId="3" borderId="2" xfId="0" applyFont="1" applyFill="1" applyBorder="1"/>
    <xf numFmtId="0" fontId="6" fillId="3" borderId="5" xfId="0" applyFont="1" applyFill="1" applyBorder="1"/>
    <xf numFmtId="0" fontId="6" fillId="3" borderId="1" xfId="0" applyFont="1" applyFill="1" applyBorder="1"/>
    <xf numFmtId="0" fontId="6" fillId="3" borderId="6" xfId="0" applyFont="1" applyFill="1" applyBorder="1"/>
    <xf numFmtId="0" fontId="3" fillId="4" borderId="7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6" fillId="6" borderId="4" xfId="0" applyFont="1" applyFill="1" applyBorder="1"/>
    <xf numFmtId="0" fontId="4" fillId="0" borderId="8" xfId="0" applyFont="1" applyBorder="1"/>
    <xf numFmtId="0" fontId="5" fillId="5" borderId="13" xfId="0" applyFont="1" applyFill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3" fillId="7" borderId="17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4" fillId="0" borderId="4" xfId="2" applyNumberFormat="1" applyFont="1" applyBorder="1"/>
    <xf numFmtId="165" fontId="6" fillId="0" borderId="4" xfId="1" applyNumberFormat="1" applyFont="1" applyBorder="1"/>
    <xf numFmtId="165" fontId="7" fillId="0" borderId="4" xfId="1" applyNumberFormat="1" applyFont="1" applyBorder="1"/>
    <xf numFmtId="165" fontId="4" fillId="0" borderId="4" xfId="1" applyNumberFormat="1" applyFont="1" applyBorder="1"/>
    <xf numFmtId="165" fontId="6" fillId="2" borderId="4" xfId="1" applyNumberFormat="1" applyFont="1" applyFill="1" applyBorder="1" applyAlignment="1">
      <alignment horizontal="center"/>
    </xf>
    <xf numFmtId="165" fontId="4" fillId="0" borderId="4" xfId="1" applyNumberFormat="1" applyFont="1" applyFill="1" applyBorder="1"/>
    <xf numFmtId="9" fontId="4" fillId="0" borderId="4" xfId="3" applyFont="1" applyFill="1" applyBorder="1"/>
    <xf numFmtId="10" fontId="4" fillId="0" borderId="4" xfId="3" applyNumberFormat="1" applyFont="1" applyFill="1" applyBorder="1"/>
    <xf numFmtId="43" fontId="4" fillId="0" borderId="4" xfId="1" applyFont="1" applyBorder="1"/>
    <xf numFmtId="43" fontId="4" fillId="0" borderId="4" xfId="1" applyFont="1" applyFill="1" applyBorder="1"/>
    <xf numFmtId="43" fontId="6" fillId="2" borderId="4" xfId="1" applyFont="1" applyFill="1" applyBorder="1"/>
    <xf numFmtId="165" fontId="4" fillId="0" borderId="1" xfId="1" applyNumberFormat="1" applyFont="1" applyBorder="1"/>
    <xf numFmtId="43" fontId="6" fillId="0" borderId="5" xfId="1" applyFont="1" applyBorder="1"/>
    <xf numFmtId="43" fontId="6" fillId="0" borderId="4" xfId="1" applyFont="1" applyBorder="1"/>
    <xf numFmtId="43" fontId="6" fillId="0" borderId="6" xfId="1" applyFont="1" applyBorder="1"/>
    <xf numFmtId="0" fontId="5" fillId="0" borderId="0" xfId="0" applyFont="1"/>
    <xf numFmtId="0" fontId="3" fillId="4" borderId="7" xfId="0" applyFont="1" applyFill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5" fontId="5" fillId="0" borderId="8" xfId="1" applyNumberFormat="1" applyFont="1" applyFill="1" applyBorder="1"/>
    <xf numFmtId="165" fontId="5" fillId="0" borderId="9" xfId="1" applyNumberFormat="1" applyFont="1" applyFill="1" applyBorder="1"/>
    <xf numFmtId="165" fontId="5" fillId="8" borderId="9" xfId="1" applyNumberFormat="1" applyFont="1" applyFill="1" applyBorder="1"/>
    <xf numFmtId="165" fontId="5" fillId="0" borderId="9" xfId="1" applyNumberFormat="1" applyFont="1" applyBorder="1"/>
    <xf numFmtId="165" fontId="5" fillId="0" borderId="10" xfId="1" applyNumberFormat="1" applyFont="1" applyBorder="1"/>
    <xf numFmtId="165" fontId="3" fillId="4" borderId="4" xfId="1" applyNumberFormat="1" applyFont="1" applyFill="1" applyBorder="1"/>
    <xf numFmtId="0" fontId="3" fillId="4" borderId="4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43" fontId="5" fillId="4" borderId="4" xfId="1" applyFont="1" applyFill="1" applyBorder="1"/>
    <xf numFmtId="0" fontId="3" fillId="5" borderId="11" xfId="0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0" fontId="5" fillId="5" borderId="4" xfId="0" applyFont="1" applyFill="1" applyBorder="1"/>
    <xf numFmtId="165" fontId="5" fillId="0" borderId="8" xfId="1" applyNumberFormat="1" applyFont="1" applyBorder="1"/>
    <xf numFmtId="165" fontId="3" fillId="6" borderId="4" xfId="1" applyNumberFormat="1" applyFont="1" applyFill="1" applyBorder="1"/>
    <xf numFmtId="165" fontId="5" fillId="0" borderId="0" xfId="1" applyNumberFormat="1" applyFont="1"/>
    <xf numFmtId="165" fontId="3" fillId="5" borderId="12" xfId="1" applyNumberFormat="1" applyFont="1" applyFill="1" applyBorder="1" applyAlignment="1">
      <alignment horizontal="center"/>
    </xf>
    <xf numFmtId="165" fontId="5" fillId="0" borderId="0" xfId="1" applyNumberFormat="1" applyFont="1" applyFill="1"/>
    <xf numFmtId="165" fontId="3" fillId="5" borderId="18" xfId="1" applyNumberFormat="1" applyFont="1" applyFill="1" applyBorder="1"/>
    <xf numFmtId="165" fontId="5" fillId="5" borderId="13" xfId="1" applyNumberFormat="1" applyFont="1" applyFill="1" applyBorder="1"/>
    <xf numFmtId="165" fontId="5" fillId="0" borderId="14" xfId="1" applyNumberFormat="1" applyFont="1" applyBorder="1"/>
    <xf numFmtId="165" fontId="5" fillId="0" borderId="15" xfId="1" applyNumberFormat="1" applyFont="1" applyBorder="1"/>
    <xf numFmtId="165" fontId="5" fillId="0" borderId="16" xfId="1" applyNumberFormat="1" applyFont="1" applyBorder="1"/>
    <xf numFmtId="165" fontId="3" fillId="7" borderId="17" xfId="1" applyNumberFormat="1" applyFont="1" applyFill="1" applyBorder="1"/>
    <xf numFmtId="165" fontId="3" fillId="0" borderId="0" xfId="1" applyNumberFormat="1" applyFont="1" applyAlignment="1">
      <alignment horizontal="center"/>
    </xf>
    <xf numFmtId="43" fontId="4" fillId="9" borderId="4" xfId="1" applyFont="1" applyFill="1" applyBorder="1"/>
    <xf numFmtId="165" fontId="5" fillId="4" borderId="4" xfId="1" applyNumberFormat="1" applyFont="1" applyFill="1" applyBorder="1"/>
    <xf numFmtId="165" fontId="5" fillId="10" borderId="9" xfId="1" applyNumberFormat="1" applyFont="1" applyFill="1" applyBorder="1"/>
    <xf numFmtId="0" fontId="8" fillId="0" borderId="0" xfId="0" applyFont="1" applyAlignment="1">
      <alignment horizontal="left"/>
    </xf>
    <xf numFmtId="165" fontId="5" fillId="0" borderId="10" xfId="1" applyNumberFormat="1" applyFont="1" applyFill="1" applyBorder="1"/>
    <xf numFmtId="0" fontId="9" fillId="0" borderId="0" xfId="0" applyFont="1" applyAlignment="1">
      <alignment horizontal="left"/>
    </xf>
    <xf numFmtId="165" fontId="5" fillId="0" borderId="8" xfId="0" applyNumberFormat="1" applyFont="1" applyBorder="1"/>
    <xf numFmtId="167" fontId="5" fillId="0" borderId="19" xfId="3" applyNumberFormat="1" applyFont="1" applyFill="1" applyBorder="1"/>
    <xf numFmtId="43" fontId="0" fillId="0" borderId="0" xfId="1" applyFont="1"/>
    <xf numFmtId="165" fontId="0" fillId="0" borderId="0" xfId="1" applyNumberFormat="1" applyFont="1"/>
    <xf numFmtId="9" fontId="0" fillId="0" borderId="0" xfId="3" applyFont="1"/>
    <xf numFmtId="10" fontId="0" fillId="0" borderId="0" xfId="3" applyNumberFormat="1" applyFont="1"/>
    <xf numFmtId="0" fontId="10" fillId="0" borderId="0" xfId="0" applyFont="1"/>
    <xf numFmtId="0" fontId="2" fillId="0" borderId="0" xfId="0" applyFont="1" applyAlignment="1">
      <alignment horizontal="right"/>
    </xf>
    <xf numFmtId="0" fontId="2" fillId="0" borderId="20" xfId="0" applyFont="1" applyBorder="1"/>
    <xf numFmtId="0" fontId="2" fillId="0" borderId="20" xfId="0" applyFont="1" applyBorder="1" applyAlignment="1">
      <alignment horizontal="right"/>
    </xf>
    <xf numFmtId="0" fontId="2" fillId="0" borderId="21" xfId="0" applyFont="1" applyBorder="1"/>
    <xf numFmtId="37" fontId="2" fillId="0" borderId="22" xfId="0" applyNumberFormat="1" applyFont="1" applyBorder="1"/>
    <xf numFmtId="37" fontId="2" fillId="0" borderId="23" xfId="0" applyNumberFormat="1" applyFont="1" applyBorder="1"/>
    <xf numFmtId="0" fontId="2" fillId="0" borderId="24" xfId="0" applyFont="1" applyBorder="1"/>
    <xf numFmtId="164" fontId="2" fillId="11" borderId="0" xfId="2" applyNumberFormat="1" applyFont="1" applyFill="1" applyBorder="1"/>
    <xf numFmtId="164" fontId="2" fillId="11" borderId="25" xfId="2" applyNumberFormat="1" applyFont="1" applyFill="1" applyBorder="1"/>
    <xf numFmtId="0" fontId="2" fillId="0" borderId="26" xfId="0" applyFont="1" applyBorder="1"/>
    <xf numFmtId="165" fontId="2" fillId="11" borderId="20" xfId="1" applyNumberFormat="1" applyFont="1" applyFill="1" applyBorder="1"/>
    <xf numFmtId="165" fontId="2" fillId="11" borderId="27" xfId="1" applyNumberFormat="1" applyFont="1" applyFill="1" applyBorder="1"/>
    <xf numFmtId="0" fontId="2" fillId="0" borderId="0" xfId="0" applyFont="1"/>
    <xf numFmtId="167" fontId="2" fillId="0" borderId="0" xfId="0" applyNumberFormat="1" applyFont="1" applyAlignment="1">
      <alignment horizontal="center"/>
    </xf>
    <xf numFmtId="44" fontId="0" fillId="0" borderId="20" xfId="0" applyNumberFormat="1" applyBorder="1"/>
    <xf numFmtId="167" fontId="12" fillId="0" borderId="20" xfId="3" applyNumberFormat="1" applyFont="1" applyBorder="1" applyAlignment="1">
      <alignment horizontal="center"/>
    </xf>
    <xf numFmtId="0" fontId="0" fillId="11" borderId="0" xfId="0" applyFill="1"/>
    <xf numFmtId="42" fontId="0" fillId="0" borderId="0" xfId="0" applyNumberFormat="1"/>
    <xf numFmtId="0" fontId="7" fillId="0" borderId="0" xfId="4" applyFont="1"/>
    <xf numFmtId="0" fontId="2" fillId="0" borderId="12" xfId="0" applyFont="1" applyBorder="1"/>
    <xf numFmtId="42" fontId="2" fillId="0" borderId="12" xfId="0" applyNumberFormat="1" applyFont="1" applyBorder="1"/>
    <xf numFmtId="0" fontId="0" fillId="0" borderId="20" xfId="0" applyBorder="1"/>
    <xf numFmtId="164" fontId="0" fillId="0" borderId="0" xfId="2" applyNumberFormat="1" applyFont="1"/>
    <xf numFmtId="42" fontId="2" fillId="0" borderId="0" xfId="0" applyNumberFormat="1" applyFont="1"/>
    <xf numFmtId="0" fontId="2" fillId="12" borderId="12" xfId="0" applyFont="1" applyFill="1" applyBorder="1"/>
    <xf numFmtId="42" fontId="2" fillId="12" borderId="12" xfId="0" applyNumberFormat="1" applyFont="1" applyFill="1" applyBorder="1"/>
    <xf numFmtId="165" fontId="0" fillId="0" borderId="0" xfId="1" applyNumberFormat="1" applyFont="1" applyFill="1"/>
    <xf numFmtId="42" fontId="2" fillId="0" borderId="12" xfId="0" applyNumberFormat="1" applyFont="1" applyBorder="1" applyAlignment="1">
      <alignment horizontal="right" indent="1"/>
    </xf>
    <xf numFmtId="42" fontId="2" fillId="0" borderId="20" xfId="0" applyNumberFormat="1" applyFont="1" applyBorder="1"/>
    <xf numFmtId="0" fontId="2" fillId="12" borderId="28" xfId="0" applyFont="1" applyFill="1" applyBorder="1"/>
    <xf numFmtId="168" fontId="2" fillId="12" borderId="12" xfId="0" applyNumberFormat="1" applyFont="1" applyFill="1" applyBorder="1" applyAlignment="1">
      <alignment horizontal="right"/>
    </xf>
    <xf numFmtId="0" fontId="0" fillId="0" borderId="22" xfId="0" applyBorder="1"/>
    <xf numFmtId="43" fontId="0" fillId="0" borderId="22" xfId="1" applyFont="1" applyBorder="1"/>
    <xf numFmtId="0" fontId="0" fillId="12" borderId="21" xfId="0" applyFill="1" applyBorder="1"/>
    <xf numFmtId="42" fontId="0" fillId="12" borderId="22" xfId="0" applyNumberFormat="1" applyFill="1" applyBorder="1"/>
    <xf numFmtId="0" fontId="2" fillId="12" borderId="26" xfId="0" applyFont="1" applyFill="1" applyBorder="1"/>
    <xf numFmtId="168" fontId="2" fillId="12" borderId="20" xfId="0" applyNumberFormat="1" applyFont="1" applyFill="1" applyBorder="1" applyAlignment="1">
      <alignment horizontal="right"/>
    </xf>
    <xf numFmtId="41" fontId="0" fillId="0" borderId="0" xfId="0" applyNumberFormat="1"/>
    <xf numFmtId="41" fontId="2" fillId="12" borderId="12" xfId="0" applyNumberFormat="1" applyFont="1" applyFill="1" applyBorder="1"/>
    <xf numFmtId="0" fontId="10" fillId="0" borderId="20" xfId="0" applyFont="1" applyBorder="1"/>
    <xf numFmtId="0" fontId="15" fillId="0" borderId="0" xfId="0" applyFont="1"/>
    <xf numFmtId="44" fontId="0" fillId="0" borderId="0" xfId="0" applyNumberFormat="1"/>
    <xf numFmtId="0" fontId="0" fillId="0" borderId="0" xfId="0" applyAlignment="1">
      <alignment horizontal="left"/>
    </xf>
    <xf numFmtId="164" fontId="0" fillId="11" borderId="0" xfId="0" applyNumberFormat="1" applyFill="1"/>
    <xf numFmtId="166" fontId="0" fillId="11" borderId="0" xfId="1" applyNumberFormat="1" applyFont="1" applyFill="1"/>
    <xf numFmtId="43" fontId="3" fillId="0" borderId="0" xfId="5" applyFont="1" applyAlignment="1"/>
    <xf numFmtId="0" fontId="13" fillId="0" borderId="0" xfId="4"/>
    <xf numFmtId="0" fontId="2" fillId="0" borderId="0" xfId="4" applyFont="1" applyAlignment="1">
      <alignment horizontal="center"/>
    </xf>
    <xf numFmtId="0" fontId="2" fillId="0" borderId="0" xfId="0" applyFont="1" applyAlignment="1">
      <alignment horizontal="center"/>
    </xf>
    <xf numFmtId="169" fontId="13" fillId="0" borderId="0" xfId="4" applyNumberFormat="1" applyAlignment="1">
      <alignment horizontal="center"/>
    </xf>
    <xf numFmtId="44" fontId="13" fillId="0" borderId="0" xfId="4" applyNumberFormat="1"/>
    <xf numFmtId="43" fontId="0" fillId="0" borderId="0" xfId="0" applyNumberFormat="1"/>
    <xf numFmtId="169" fontId="2" fillId="0" borderId="29" xfId="4" applyNumberFormat="1" applyFont="1" applyBorder="1" applyAlignment="1">
      <alignment horizontal="right"/>
    </xf>
    <xf numFmtId="44" fontId="2" fillId="0" borderId="29" xfId="4" applyNumberFormat="1" applyFont="1" applyBorder="1"/>
    <xf numFmtId="169" fontId="13" fillId="0" borderId="0" xfId="4" applyNumberFormat="1"/>
    <xf numFmtId="169" fontId="2" fillId="0" borderId="0" xfId="4" applyNumberFormat="1" applyFont="1" applyAlignment="1">
      <alignment horizontal="right"/>
    </xf>
    <xf numFmtId="44" fontId="16" fillId="0" borderId="0" xfId="4" applyNumberFormat="1" applyFont="1"/>
    <xf numFmtId="44" fontId="0" fillId="0" borderId="0" xfId="2" applyFont="1"/>
    <xf numFmtId="44" fontId="2" fillId="0" borderId="0" xfId="2" applyFont="1"/>
    <xf numFmtId="44" fontId="2" fillId="0" borderId="0" xfId="0" applyNumberFormat="1" applyFont="1"/>
    <xf numFmtId="0" fontId="17" fillId="0" borderId="0" xfId="4" applyFont="1"/>
    <xf numFmtId="44" fontId="17" fillId="0" borderId="0" xfId="4" applyNumberFormat="1" applyFont="1"/>
    <xf numFmtId="9" fontId="0" fillId="0" borderId="0" xfId="6" applyFont="1"/>
    <xf numFmtId="44" fontId="0" fillId="0" borderId="0" xfId="7" applyFont="1"/>
    <xf numFmtId="44" fontId="2" fillId="0" borderId="0" xfId="4" applyNumberFormat="1" applyFont="1"/>
    <xf numFmtId="165" fontId="4" fillId="8" borderId="4" xfId="1" applyNumberFormat="1" applyFont="1" applyFill="1" applyBorder="1"/>
    <xf numFmtId="165" fontId="0" fillId="0" borderId="0" xfId="0" applyNumberFormat="1"/>
    <xf numFmtId="167" fontId="12" fillId="0" borderId="0" xfId="0" applyNumberFormat="1" applyFont="1"/>
    <xf numFmtId="164" fontId="0" fillId="0" borderId="0" xfId="0" applyNumberFormat="1"/>
    <xf numFmtId="0" fontId="20" fillId="0" borderId="0" xfId="4" applyFont="1"/>
    <xf numFmtId="43" fontId="21" fillId="0" borderId="0" xfId="5" applyFont="1" applyFill="1" applyAlignment="1">
      <alignment horizontal="center"/>
    </xf>
    <xf numFmtId="0" fontId="20" fillId="14" borderId="0" xfId="4" applyFont="1" applyFill="1"/>
    <xf numFmtId="0" fontId="22" fillId="0" borderId="20" xfId="4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0" xfId="4" applyFont="1" applyBorder="1" applyAlignment="1">
      <alignment horizontal="center" wrapText="1"/>
    </xf>
    <xf numFmtId="169" fontId="20" fillId="0" borderId="0" xfId="4" applyNumberFormat="1" applyFont="1" applyAlignment="1">
      <alignment horizontal="center"/>
    </xf>
    <xf numFmtId="164" fontId="20" fillId="0" borderId="0" xfId="4" applyNumberFormat="1" applyFont="1"/>
    <xf numFmtId="170" fontId="20" fillId="0" borderId="0" xfId="4" applyNumberFormat="1" applyFont="1"/>
    <xf numFmtId="165" fontId="20" fillId="0" borderId="0" xfId="5" applyNumberFormat="1" applyFont="1"/>
    <xf numFmtId="165" fontId="0" fillId="0" borderId="0" xfId="5" applyNumberFormat="1" applyFont="1"/>
    <xf numFmtId="169" fontId="20" fillId="0" borderId="20" xfId="4" applyNumberFormat="1" applyFont="1" applyBorder="1" applyAlignment="1">
      <alignment horizontal="center"/>
    </xf>
    <xf numFmtId="165" fontId="20" fillId="0" borderId="20" xfId="5" applyNumberFormat="1" applyFont="1" applyBorder="1"/>
    <xf numFmtId="169" fontId="20" fillId="0" borderId="22" xfId="4" applyNumberFormat="1" applyFont="1" applyBorder="1" applyAlignment="1">
      <alignment horizontal="center"/>
    </xf>
    <xf numFmtId="165" fontId="20" fillId="0" borderId="22" xfId="5" applyNumberFormat="1" applyFont="1" applyBorder="1"/>
    <xf numFmtId="165" fontId="20" fillId="0" borderId="20" xfId="5" applyNumberFormat="1" applyFont="1" applyBorder="1" applyAlignment="1">
      <alignment horizontal="center"/>
    </xf>
    <xf numFmtId="165" fontId="20" fillId="0" borderId="0" xfId="5" applyNumberFormat="1" applyFont="1" applyBorder="1" applyAlignment="1">
      <alignment horizontal="center"/>
    </xf>
    <xf numFmtId="165" fontId="20" fillId="0" borderId="0" xfId="5" applyNumberFormat="1" applyFont="1" applyBorder="1"/>
    <xf numFmtId="43" fontId="20" fillId="0" borderId="0" xfId="5" applyFont="1"/>
    <xf numFmtId="43" fontId="20" fillId="0" borderId="0" xfId="5" applyFont="1" applyBorder="1"/>
    <xf numFmtId="0" fontId="22" fillId="0" borderId="22" xfId="0" applyFont="1" applyBorder="1" applyAlignment="1">
      <alignment horizontal="center"/>
    </xf>
    <xf numFmtId="164" fontId="22" fillId="0" borderId="22" xfId="0" applyNumberFormat="1" applyFont="1" applyBorder="1"/>
    <xf numFmtId="0" fontId="18" fillId="0" borderId="0" xfId="0" applyFont="1"/>
    <xf numFmtId="164" fontId="18" fillId="0" borderId="0" xfId="0" applyNumberFormat="1" applyFont="1"/>
    <xf numFmtId="43" fontId="4" fillId="0" borderId="0" xfId="1" applyFont="1" applyFill="1" applyBorder="1"/>
    <xf numFmtId="165" fontId="5" fillId="0" borderId="0" xfId="1" applyNumberFormat="1" applyFont="1" applyFill="1" applyBorder="1"/>
    <xf numFmtId="165" fontId="6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43" fontId="6" fillId="0" borderId="0" xfId="1" applyFont="1" applyFill="1" applyBorder="1"/>
    <xf numFmtId="165" fontId="3" fillId="0" borderId="0" xfId="0" applyNumberFormat="1" applyFont="1" applyAlignment="1">
      <alignment horizontal="center"/>
    </xf>
    <xf numFmtId="165" fontId="3" fillId="0" borderId="0" xfId="1" applyNumberFormat="1" applyFont="1" applyFill="1" applyBorder="1"/>
    <xf numFmtId="43" fontId="5" fillId="0" borderId="0" xfId="1" applyFont="1" applyFill="1" applyBorder="1"/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0" fillId="4" borderId="0" xfId="0" applyFill="1"/>
    <xf numFmtId="43" fontId="0" fillId="4" borderId="0" xfId="1" applyFont="1" applyFill="1"/>
    <xf numFmtId="10" fontId="0" fillId="4" borderId="0" xfId="3" applyNumberFormat="1" applyFont="1" applyFill="1"/>
    <xf numFmtId="0" fontId="0" fillId="7" borderId="0" xfId="0" applyFill="1"/>
    <xf numFmtId="43" fontId="0" fillId="7" borderId="0" xfId="1" applyFont="1" applyFill="1"/>
    <xf numFmtId="10" fontId="0" fillId="7" borderId="0" xfId="3" applyNumberFormat="1" applyFont="1" applyFill="1"/>
    <xf numFmtId="43" fontId="0" fillId="7" borderId="20" xfId="1" applyFont="1" applyFill="1" applyBorder="1"/>
    <xf numFmtId="43" fontId="4" fillId="4" borderId="4" xfId="1" applyFont="1" applyFill="1" applyBorder="1"/>
    <xf numFmtId="0" fontId="0" fillId="5" borderId="0" xfId="0" applyFill="1"/>
    <xf numFmtId="43" fontId="0" fillId="5" borderId="0" xfId="1" applyFont="1" applyFill="1"/>
    <xf numFmtId="10" fontId="0" fillId="5" borderId="0" xfId="3" applyNumberFormat="1" applyFont="1" applyFill="1"/>
    <xf numFmtId="43" fontId="0" fillId="5" borderId="20" xfId="1" applyFont="1" applyFill="1" applyBorder="1"/>
    <xf numFmtId="9" fontId="23" fillId="0" borderId="0" xfId="3" applyFont="1"/>
    <xf numFmtId="9" fontId="23" fillId="0" borderId="20" xfId="3" applyFont="1" applyBorder="1"/>
    <xf numFmtId="9" fontId="2" fillId="0" borderId="0" xfId="3" applyFont="1" applyFill="1" applyBorder="1" applyAlignment="1">
      <alignment horizontal="right" indent="1"/>
    </xf>
    <xf numFmtId="165" fontId="5" fillId="15" borderId="9" xfId="1" applyNumberFormat="1" applyFont="1" applyFill="1" applyBorder="1"/>
    <xf numFmtId="43" fontId="4" fillId="15" borderId="4" xfId="1" applyFont="1" applyFill="1" applyBorder="1"/>
    <xf numFmtId="167" fontId="0" fillId="0" borderId="0" xfId="3" applyNumberFormat="1" applyFont="1"/>
    <xf numFmtId="169" fontId="2" fillId="0" borderId="0" xfId="4" applyNumberFormat="1" applyFont="1" applyAlignment="1">
      <alignment horizontal="left"/>
    </xf>
    <xf numFmtId="43" fontId="4" fillId="5" borderId="4" xfId="1" applyFont="1" applyFill="1" applyBorder="1"/>
    <xf numFmtId="0" fontId="0" fillId="10" borderId="0" xfId="0" applyFill="1"/>
    <xf numFmtId="43" fontId="0" fillId="10" borderId="0" xfId="1" applyFont="1" applyFill="1"/>
    <xf numFmtId="9" fontId="0" fillId="10" borderId="0" xfId="3" applyFont="1" applyFill="1"/>
    <xf numFmtId="43" fontId="0" fillId="5" borderId="0" xfId="1" applyFont="1" applyFill="1" applyBorder="1"/>
    <xf numFmtId="43" fontId="0" fillId="10" borderId="0" xfId="1" applyFont="1" applyFill="1" applyBorder="1"/>
    <xf numFmtId="43" fontId="0" fillId="7" borderId="0" xfId="1" applyFont="1" applyFill="1" applyBorder="1"/>
    <xf numFmtId="165" fontId="5" fillId="10" borderId="8" xfId="1" applyNumberFormat="1" applyFont="1" applyFill="1" applyBorder="1"/>
    <xf numFmtId="164" fontId="4" fillId="0" borderId="0" xfId="2" applyNumberFormat="1" applyFont="1" applyFill="1" applyBorder="1"/>
    <xf numFmtId="165" fontId="6" fillId="0" borderId="0" xfId="1" applyNumberFormat="1" applyFont="1" applyFill="1" applyBorder="1"/>
    <xf numFmtId="165" fontId="7" fillId="0" borderId="0" xfId="1" applyNumberFormat="1" applyFont="1" applyFill="1" applyBorder="1"/>
    <xf numFmtId="0" fontId="0" fillId="0" borderId="12" xfId="0" applyBorder="1" applyAlignment="1">
      <alignment horizontal="center"/>
    </xf>
    <xf numFmtId="43" fontId="3" fillId="7" borderId="0" xfId="5" applyFont="1" applyFill="1" applyAlignment="1">
      <alignment horizontal="center"/>
    </xf>
    <xf numFmtId="0" fontId="2" fillId="0" borderId="0" xfId="4" applyFont="1" applyAlignment="1">
      <alignment horizontal="center"/>
    </xf>
    <xf numFmtId="0" fontId="22" fillId="14" borderId="0" xfId="4" applyFont="1" applyFill="1" applyAlignment="1">
      <alignment horizontal="center"/>
    </xf>
    <xf numFmtId="43" fontId="19" fillId="13" borderId="0" xfId="5" applyFont="1" applyFill="1" applyAlignment="1">
      <alignment horizontal="center"/>
    </xf>
  </cellXfs>
  <cellStyles count="8">
    <cellStyle name="Comma" xfId="1" builtinId="3"/>
    <cellStyle name="Comma 2" xfId="5" xr:uid="{0692F3D9-D830-406F-892A-D53BF3A1B83A}"/>
    <cellStyle name="Currency" xfId="2" builtinId="4"/>
    <cellStyle name="Currency 2" xfId="7" xr:uid="{69013CEE-B674-422B-9BB0-B60110E5D960}"/>
    <cellStyle name="Normal" xfId="0" builtinId="0"/>
    <cellStyle name="Normal 2" xfId="4" xr:uid="{C9EA6735-3CCB-4CA8-A539-15D93F07636D}"/>
    <cellStyle name="Percent" xfId="3" builtinId="5"/>
    <cellStyle name="Percent 2" xfId="6" xr:uid="{3CEFF33B-9234-4893-B02E-D9FAB6DAA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228925</xdr:colOff>
      <xdr:row>37</xdr:row>
      <xdr:rowOff>101940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208625-3F65-5B0A-634B-D5AE567BF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6324925" cy="6617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266996</xdr:colOff>
      <xdr:row>42</xdr:row>
      <xdr:rowOff>9907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590CD-3C81-3786-773E-0D5BF4862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5753396" cy="742988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349550</xdr:colOff>
      <xdr:row>42</xdr:row>
      <xdr:rowOff>9907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36E092-569A-133F-9955-81D7340ED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80975"/>
          <a:ext cx="5835950" cy="7429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330499</xdr:colOff>
      <xdr:row>42</xdr:row>
      <xdr:rowOff>130563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C9FAF-5AE0-3402-036F-12FA7694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5816899" cy="7550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403A-70E2-42D2-8A0E-73506EBE72A8}">
  <sheetPr>
    <pageSetUpPr fitToPage="1"/>
  </sheetPr>
  <dimension ref="C1:P55"/>
  <sheetViews>
    <sheetView workbookViewId="0">
      <selection activeCell="K31" sqref="K31:O31"/>
    </sheetView>
  </sheetViews>
  <sheetFormatPr defaultRowHeight="15" x14ac:dyDescent="0.25"/>
  <cols>
    <col min="3" max="3" width="50.5703125" customWidth="1"/>
    <col min="4" max="9" width="15.7109375" customWidth="1"/>
    <col min="10" max="10" width="3.140625" customWidth="1"/>
    <col min="11" max="13" width="11.140625" bestFit="1" customWidth="1"/>
  </cols>
  <sheetData>
    <row r="1" spans="3:16" x14ac:dyDescent="0.25">
      <c r="C1" s="99" t="s">
        <v>284</v>
      </c>
    </row>
    <row r="2" spans="3:16" x14ac:dyDescent="0.25">
      <c r="C2" s="99" t="s">
        <v>180</v>
      </c>
    </row>
    <row r="3" spans="3:16" x14ac:dyDescent="0.25">
      <c r="D3" s="100" t="s">
        <v>181</v>
      </c>
      <c r="E3" s="100" t="s">
        <v>182</v>
      </c>
      <c r="F3" s="100" t="s">
        <v>182</v>
      </c>
      <c r="G3" s="100" t="s">
        <v>182</v>
      </c>
      <c r="H3" s="100" t="s">
        <v>182</v>
      </c>
      <c r="I3" s="100" t="s">
        <v>182</v>
      </c>
    </row>
    <row r="4" spans="3:16" x14ac:dyDescent="0.25">
      <c r="C4" s="101" t="s">
        <v>183</v>
      </c>
      <c r="D4" s="102" t="s">
        <v>184</v>
      </c>
      <c r="E4" s="102" t="s">
        <v>185</v>
      </c>
      <c r="F4" s="102" t="s">
        <v>186</v>
      </c>
      <c r="G4" s="102" t="s">
        <v>187</v>
      </c>
      <c r="H4" s="102" t="s">
        <v>188</v>
      </c>
      <c r="I4" s="102" t="s">
        <v>188</v>
      </c>
    </row>
    <row r="5" spans="3:16" ht="16.5" x14ac:dyDescent="0.25">
      <c r="C5" s="103" t="s">
        <v>189</v>
      </c>
      <c r="D5" s="104">
        <f>'FY26'!AF17</f>
        <v>4973</v>
      </c>
      <c r="E5" s="104">
        <f>'FY27'!AR17</f>
        <v>5477</v>
      </c>
      <c r="F5" s="104">
        <f>'FY28'!AR17</f>
        <v>6463</v>
      </c>
      <c r="G5" s="104">
        <f>'FY29'!AR17</f>
        <v>6916</v>
      </c>
      <c r="H5" s="105">
        <f>'FY30'!AR17</f>
        <v>7302</v>
      </c>
      <c r="I5" s="105">
        <f>'FY31'!AR17</f>
        <v>7495</v>
      </c>
    </row>
    <row r="6" spans="3:16" x14ac:dyDescent="0.25">
      <c r="C6" s="106" t="s">
        <v>190</v>
      </c>
      <c r="D6" s="107">
        <f>+D10/D5</f>
        <v>11832.573697969034</v>
      </c>
      <c r="E6" s="107">
        <f t="shared" ref="E6:H6" si="0">+E10/E5</f>
        <v>11668.625483841519</v>
      </c>
      <c r="F6" s="107">
        <f t="shared" si="0"/>
        <v>11697.41144979112</v>
      </c>
      <c r="G6" s="107">
        <f t="shared" si="0"/>
        <v>12035.894646471948</v>
      </c>
      <c r="H6" s="108">
        <f t="shared" si="0"/>
        <v>12283.500265338263</v>
      </c>
      <c r="I6" s="108">
        <f t="shared" ref="I6" si="1">+I10/I5</f>
        <v>0</v>
      </c>
    </row>
    <row r="7" spans="3:16" x14ac:dyDescent="0.25">
      <c r="C7" s="109" t="s">
        <v>191</v>
      </c>
      <c r="D7" s="110">
        <f>+D11/D5</f>
        <v>1283.4792698974461</v>
      </c>
      <c r="E7" s="110">
        <f t="shared" ref="E7:H7" si="2">+E11/E5</f>
        <v>1282.8235631184955</v>
      </c>
      <c r="F7" s="110">
        <f t="shared" si="2"/>
        <v>1240.9956142967662</v>
      </c>
      <c r="G7" s="110">
        <f t="shared" si="2"/>
        <v>1206.8372838635048</v>
      </c>
      <c r="H7" s="111">
        <f t="shared" si="2"/>
        <v>1193.2026369761711</v>
      </c>
      <c r="I7" s="111">
        <f t="shared" ref="I7" si="3">+I11/I5</f>
        <v>0</v>
      </c>
    </row>
    <row r="8" spans="3:16" x14ac:dyDescent="0.25">
      <c r="C8" s="112"/>
      <c r="D8" s="113"/>
      <c r="E8" s="167"/>
      <c r="F8" s="167"/>
      <c r="G8" s="167"/>
      <c r="H8" s="167"/>
      <c r="I8" s="167"/>
      <c r="J8" s="191"/>
      <c r="K8" s="191"/>
      <c r="L8" s="191"/>
      <c r="M8" s="191"/>
    </row>
    <row r="9" spans="3:16" x14ac:dyDescent="0.25">
      <c r="C9" s="101" t="s">
        <v>192</v>
      </c>
      <c r="D9" s="114"/>
      <c r="E9" s="115"/>
      <c r="F9" s="115"/>
      <c r="G9" s="115"/>
      <c r="H9" s="115"/>
      <c r="I9" s="115"/>
      <c r="J9" s="191"/>
      <c r="K9" s="191"/>
      <c r="L9" s="191"/>
      <c r="M9" s="191"/>
    </row>
    <row r="10" spans="3:16" x14ac:dyDescent="0.25">
      <c r="C10" s="116" t="s">
        <v>193</v>
      </c>
      <c r="D10" s="117">
        <f>Compare!AW68+Compare!AW69+Compare!AW70+Compare!AW71+Compare!AW72+Compare!AW73+Compare!AW74</f>
        <v>58843389</v>
      </c>
      <c r="E10" s="117">
        <f>Compare!AX68+Compare!AX69+Compare!AX70+Compare!AX71+Compare!AX72+Compare!AX73+Compare!AX74</f>
        <v>63909061.774999999</v>
      </c>
      <c r="F10" s="117">
        <f>Compare!AY68+Compare!AY69+Compare!AY70+Compare!AY71+Compare!AY72+Compare!AY73+Compare!AY74</f>
        <v>75600370.200000003</v>
      </c>
      <c r="G10" s="117">
        <f>Compare!AZ68+Compare!AZ69+Compare!AZ70+Compare!AZ71+Compare!AZ72+Compare!AZ73+Compare!AZ74</f>
        <v>83240247.375</v>
      </c>
      <c r="H10" s="117">
        <f>Compare!BA68+Compare!BA69+Compare!BA70+Compare!BA71+Compare!BA72+Compare!BA73+Compare!BA74</f>
        <v>89694118.9375</v>
      </c>
      <c r="I10" s="117"/>
      <c r="J10" s="192">
        <f>E10-D10</f>
        <v>5065672.7749999985</v>
      </c>
      <c r="K10" s="192">
        <f>F10-E10</f>
        <v>11691308.425000004</v>
      </c>
      <c r="L10" s="192">
        <f>G10-F10</f>
        <v>7639877.174999997</v>
      </c>
      <c r="M10" s="192">
        <f>H10-G10</f>
        <v>6453871.5625</v>
      </c>
    </row>
    <row r="11" spans="3:16" x14ac:dyDescent="0.25">
      <c r="C11" s="116" t="s">
        <v>194</v>
      </c>
      <c r="D11" s="96">
        <f>Compare!AW75+Compare!AW77+Compare!AW80+Compare!AW81</f>
        <v>6382742.4091999996</v>
      </c>
      <c r="E11" s="96">
        <f>Compare!AX75+Compare!AX77+Compare!AX80+Compare!AX81</f>
        <v>7026024.6551999999</v>
      </c>
      <c r="F11" s="96">
        <f>Compare!AY75+Compare!AY77+Compare!AY80+Compare!AY81</f>
        <v>8020554.6551999999</v>
      </c>
      <c r="G11" s="96">
        <f>Compare!AZ75+Compare!AZ77+Compare!AZ80+Compare!AZ81</f>
        <v>8346486.6551999999</v>
      </c>
      <c r="H11" s="96">
        <f>Compare!BA75+Compare!BA77+Compare!BA80+Compare!BA81</f>
        <v>8712765.6552000009</v>
      </c>
      <c r="I11" s="96"/>
      <c r="J11" s="192">
        <f t="shared" ref="J11:J12" si="4">E11-D11</f>
        <v>643282.24600000028</v>
      </c>
      <c r="K11" s="192">
        <f t="shared" ref="K11:K12" si="5">F11-E11</f>
        <v>994530</v>
      </c>
      <c r="L11" s="192">
        <f t="shared" ref="L11:L12" si="6">G11-F11</f>
        <v>325932</v>
      </c>
      <c r="M11" s="192">
        <f t="shared" ref="M11:M12" si="7">H11-G11</f>
        <v>366279.00000000093</v>
      </c>
    </row>
    <row r="12" spans="3:16" x14ac:dyDescent="0.25">
      <c r="C12" s="118" t="s">
        <v>195</v>
      </c>
      <c r="D12" s="96">
        <f>Compare!AW76+Compare!AW79+Compare!AW78</f>
        <v>210000</v>
      </c>
      <c r="E12" s="96">
        <f>Compare!AX76+Compare!AX79+Compare!AX78</f>
        <v>260000</v>
      </c>
      <c r="F12" s="96">
        <f>Compare!AY76+Compare!AY79+Compare!AY78</f>
        <v>265000</v>
      </c>
      <c r="G12" s="96">
        <f>Compare!AZ76+Compare!AZ79+Compare!AZ78</f>
        <v>275000</v>
      </c>
      <c r="H12" s="96">
        <f>Compare!BA76+Compare!BA79+Compare!BA78</f>
        <v>265000</v>
      </c>
      <c r="I12" s="96"/>
      <c r="J12" s="192">
        <f t="shared" si="4"/>
        <v>50000</v>
      </c>
      <c r="K12" s="192">
        <f t="shared" si="5"/>
        <v>5000</v>
      </c>
      <c r="L12" s="192">
        <f t="shared" si="6"/>
        <v>10000</v>
      </c>
      <c r="M12" s="192">
        <f t="shared" si="7"/>
        <v>-10000</v>
      </c>
    </row>
    <row r="13" spans="3:16" x14ac:dyDescent="0.25">
      <c r="C13" s="119" t="s">
        <v>196</v>
      </c>
      <c r="D13" s="120">
        <f t="shared" ref="D13:H13" si="8">SUM(D10:D12)</f>
        <v>65436131.409199998</v>
      </c>
      <c r="E13" s="120">
        <f t="shared" si="8"/>
        <v>71195086.430199996</v>
      </c>
      <c r="F13" s="120">
        <f t="shared" si="8"/>
        <v>83885924.855200008</v>
      </c>
      <c r="G13" s="120">
        <f t="shared" si="8"/>
        <v>91861734.030200005</v>
      </c>
      <c r="H13" s="120">
        <f t="shared" si="8"/>
        <v>98671884.592700005</v>
      </c>
      <c r="I13" s="120">
        <f t="shared" ref="I13" si="9">SUM(I10:I12)</f>
        <v>0</v>
      </c>
      <c r="J13" s="191"/>
      <c r="K13" s="191"/>
      <c r="L13" s="191"/>
      <c r="M13" s="191"/>
    </row>
    <row r="14" spans="3:16" x14ac:dyDescent="0.25">
      <c r="F14" s="117"/>
      <c r="G14" s="117"/>
      <c r="H14" s="117"/>
      <c r="I14" s="117"/>
      <c r="J14" s="191"/>
      <c r="K14" s="100" t="s">
        <v>181</v>
      </c>
      <c r="L14" s="100" t="s">
        <v>182</v>
      </c>
      <c r="M14" s="100" t="s">
        <v>182</v>
      </c>
      <c r="N14" s="100" t="s">
        <v>182</v>
      </c>
      <c r="O14" s="100" t="s">
        <v>182</v>
      </c>
    </row>
    <row r="15" spans="3:16" x14ac:dyDescent="0.25">
      <c r="C15" s="101" t="s">
        <v>197</v>
      </c>
      <c r="D15" s="121"/>
      <c r="E15" s="121"/>
      <c r="F15" s="121"/>
      <c r="G15" s="121"/>
      <c r="H15" s="121"/>
      <c r="I15" s="121"/>
      <c r="J15" s="191"/>
      <c r="K15" s="102" t="s">
        <v>184</v>
      </c>
      <c r="L15" s="102" t="s">
        <v>185</v>
      </c>
      <c r="M15" s="102" t="s">
        <v>186</v>
      </c>
      <c r="N15" s="102" t="s">
        <v>187</v>
      </c>
      <c r="O15" s="102" t="s">
        <v>188</v>
      </c>
    </row>
    <row r="16" spans="3:16" x14ac:dyDescent="0.25">
      <c r="C16" t="s">
        <v>198</v>
      </c>
      <c r="D16" s="122">
        <f>Compare!AW109+Compare!AW125</f>
        <v>27041031.5</v>
      </c>
      <c r="E16" s="122">
        <f>Compare!AX109+Compare!AX125</f>
        <v>28969020.939999998</v>
      </c>
      <c r="F16" s="122">
        <f>Compare!AY109+Compare!AY125</f>
        <v>32795063.5869</v>
      </c>
      <c r="G16" s="122">
        <f>Compare!AZ109+Compare!AZ125</f>
        <v>35000485.622069001</v>
      </c>
      <c r="H16" s="122">
        <f>Compare!BA109+Compare!BA125</f>
        <v>36940601.120789692</v>
      </c>
      <c r="I16" s="122"/>
      <c r="J16" s="192">
        <f>E16-D16</f>
        <v>1927989.4399999976</v>
      </c>
      <c r="K16" s="215">
        <f>D16/D13</f>
        <v>0.41324312604760988</v>
      </c>
      <c r="L16" s="215">
        <f t="shared" ref="L16:O16" si="10">E16/E13</f>
        <v>0.40689635187677403</v>
      </c>
      <c r="M16" s="215">
        <f t="shared" si="10"/>
        <v>0.39094834614399637</v>
      </c>
      <c r="N16" s="215">
        <f t="shared" si="10"/>
        <v>0.38101268163044272</v>
      </c>
      <c r="O16" s="215">
        <f t="shared" si="10"/>
        <v>0.37437818557204949</v>
      </c>
      <c r="P16" s="215"/>
    </row>
    <row r="17" spans="3:16" x14ac:dyDescent="0.25">
      <c r="C17" t="s">
        <v>199</v>
      </c>
      <c r="D17" s="96">
        <f>Compare!AW116+Compare!AW132</f>
        <v>15333970.55625</v>
      </c>
      <c r="E17" s="96">
        <f>Compare!AX116+Compare!AX132</f>
        <v>16912257.276825</v>
      </c>
      <c r="F17" s="96">
        <f>Compare!AY116+Compare!AY132</f>
        <v>19660110.241996497</v>
      </c>
      <c r="G17" s="96">
        <f>Compare!AZ116+Compare!AZ132</f>
        <v>21708644.936178934</v>
      </c>
      <c r="H17" s="96">
        <f>Compare!BA116+Compare!BA132</f>
        <v>23557750.287221227</v>
      </c>
      <c r="I17" s="96"/>
      <c r="J17" s="192">
        <f t="shared" ref="J17:J22" si="11">E17-D17</f>
        <v>1578286.7205749992</v>
      </c>
      <c r="K17" s="215">
        <f>D17/D13</f>
        <v>0.23433491904281675</v>
      </c>
      <c r="L17" s="215">
        <f t="shared" ref="L17:O17" si="12">E17/E13</f>
        <v>0.23754809671318902</v>
      </c>
      <c r="M17" s="215">
        <f t="shared" si="12"/>
        <v>0.23436721089900203</v>
      </c>
      <c r="N17" s="215">
        <f t="shared" si="12"/>
        <v>0.23631869314639878</v>
      </c>
      <c r="O17" s="215">
        <f t="shared" si="12"/>
        <v>0.23874835658063523</v>
      </c>
      <c r="P17" s="215"/>
    </row>
    <row r="18" spans="3:16" x14ac:dyDescent="0.25">
      <c r="C18" t="s">
        <v>200</v>
      </c>
      <c r="D18" s="96">
        <f>Compare!AW141+Compare!AW149</f>
        <v>2529369</v>
      </c>
      <c r="E18" s="96">
        <f>Compare!AX141+Compare!AX149</f>
        <v>2744617.25</v>
      </c>
      <c r="F18" s="96">
        <f>Compare!AY141+Compare!AY149</f>
        <v>3286575</v>
      </c>
      <c r="G18" s="96">
        <f>Compare!AZ141+Compare!AZ149</f>
        <v>3808577.5</v>
      </c>
      <c r="H18" s="96">
        <f>Compare!BA141+Compare!BA149</f>
        <v>4101005</v>
      </c>
      <c r="I18" s="96"/>
      <c r="J18" s="192">
        <f t="shared" si="11"/>
        <v>215248.25</v>
      </c>
      <c r="K18" s="215">
        <f>D18/D13</f>
        <v>3.8654011866667032E-2</v>
      </c>
      <c r="L18" s="215">
        <f t="shared" ref="L18:O18" si="13">E18/E13</f>
        <v>3.8550655496300802E-2</v>
      </c>
      <c r="M18" s="215">
        <f t="shared" si="13"/>
        <v>3.917909954111054E-2</v>
      </c>
      <c r="N18" s="215">
        <f t="shared" si="13"/>
        <v>4.1459891218120389E-2</v>
      </c>
      <c r="O18" s="215">
        <f t="shared" si="13"/>
        <v>4.1562041881820944E-2</v>
      </c>
      <c r="P18" s="215"/>
    </row>
    <row r="19" spans="3:16" x14ac:dyDescent="0.25">
      <c r="C19" t="s">
        <v>201</v>
      </c>
      <c r="D19" s="96">
        <f>Compare!AW159+Compare!AW171</f>
        <v>4704548.78</v>
      </c>
      <c r="E19" s="96">
        <f>Compare!AX159+Compare!AX171</f>
        <v>5692804.8550000004</v>
      </c>
      <c r="F19" s="96">
        <f>Compare!AY159+Compare!AY171</f>
        <v>6926877.6999999993</v>
      </c>
      <c r="G19" s="96">
        <f>Compare!AZ159+Compare!AZ171</f>
        <v>7677057.7598999999</v>
      </c>
      <c r="H19" s="96">
        <f>Compare!BA159+Compare!BA171</f>
        <v>8260932.2758910004</v>
      </c>
      <c r="I19" s="96"/>
      <c r="J19" s="192">
        <f t="shared" si="11"/>
        <v>988256.07500000019</v>
      </c>
      <c r="K19" s="215">
        <f>D19/D13</f>
        <v>7.1895276794107107E-2</v>
      </c>
      <c r="L19" s="215">
        <f t="shared" ref="L19:O19" si="14">E19/E13</f>
        <v>7.9960642516829494E-2</v>
      </c>
      <c r="M19" s="215">
        <f t="shared" si="14"/>
        <v>8.2574969662155537E-2</v>
      </c>
      <c r="N19" s="215">
        <f t="shared" si="14"/>
        <v>8.3571879422351517E-2</v>
      </c>
      <c r="O19" s="215">
        <f t="shared" si="14"/>
        <v>8.3721237412163155E-2</v>
      </c>
      <c r="P19" s="215"/>
    </row>
    <row r="20" spans="3:16" x14ac:dyDescent="0.25">
      <c r="C20" t="s">
        <v>202</v>
      </c>
      <c r="D20" s="96">
        <f>Compare!AW194-Compare!AW193</f>
        <v>5807500.0499999998</v>
      </c>
      <c r="E20" s="96">
        <f>Compare!AX194-Compare!AX193</f>
        <v>5949892.6780000003</v>
      </c>
      <c r="F20" s="96">
        <f>Compare!AY194-Compare!AY193</f>
        <v>7279577.5896150004</v>
      </c>
      <c r="G20" s="96">
        <f>Compare!AZ194-Compare!AZ193</f>
        <v>7953190.4256901499</v>
      </c>
      <c r="H20" s="96">
        <f>Compare!BA194-Compare!BA193</f>
        <v>8605065.3011481296</v>
      </c>
      <c r="I20" s="96"/>
      <c r="J20" s="192">
        <f t="shared" si="11"/>
        <v>142392.62800000049</v>
      </c>
      <c r="K20" s="215">
        <f>D20/D13</f>
        <v>8.875066305010039E-2</v>
      </c>
      <c r="L20" s="215">
        <f t="shared" ref="L20:O20" si="15">E20/E13</f>
        <v>8.3571675748063082E-2</v>
      </c>
      <c r="M20" s="215">
        <f t="shared" si="15"/>
        <v>8.6779487764850533E-2</v>
      </c>
      <c r="N20" s="215">
        <f t="shared" si="15"/>
        <v>8.6577839071440774E-2</v>
      </c>
      <c r="O20" s="215">
        <f t="shared" si="15"/>
        <v>8.7208887685365583E-2</v>
      </c>
      <c r="P20" s="215"/>
    </row>
    <row r="21" spans="3:16" x14ac:dyDescent="0.25">
      <c r="C21" t="s">
        <v>203</v>
      </c>
      <c r="D21" s="96">
        <f>Compare!AW207</f>
        <v>2410219.7999999998</v>
      </c>
      <c r="E21" s="96">
        <f>Compare!AX207</f>
        <v>2706160.034</v>
      </c>
      <c r="F21" s="96">
        <f>Compare!AY207</f>
        <v>3210425.3221800001</v>
      </c>
      <c r="G21" s="96">
        <f>Compare!AZ207</f>
        <v>3561640.3617393998</v>
      </c>
      <c r="H21" s="96">
        <f>Compare!BA207</f>
        <v>3768973.1398246065</v>
      </c>
      <c r="I21" s="96"/>
      <c r="J21" s="192">
        <f t="shared" si="11"/>
        <v>295940.23400000017</v>
      </c>
      <c r="K21" s="216">
        <f>D21/D13</f>
        <v>3.6833164615552666E-2</v>
      </c>
      <c r="L21" s="216">
        <f t="shared" ref="L21:O21" si="16">E21/E13</f>
        <v>3.8010488780755004E-2</v>
      </c>
      <c r="M21" s="216">
        <f t="shared" si="16"/>
        <v>3.8271322962960562E-2</v>
      </c>
      <c r="N21" s="216">
        <f t="shared" si="16"/>
        <v>3.8771751908890519E-2</v>
      </c>
      <c r="O21" s="216">
        <f t="shared" si="16"/>
        <v>3.8197032066249241E-2</v>
      </c>
      <c r="P21" s="215"/>
    </row>
    <row r="22" spans="3:16" ht="16.5" x14ac:dyDescent="0.25">
      <c r="C22" s="119" t="s">
        <v>204</v>
      </c>
      <c r="D22" s="120">
        <f t="shared" ref="D22:H22" si="17">SUM(D16:D21)</f>
        <v>57826639.686249994</v>
      </c>
      <c r="E22" s="120">
        <f t="shared" si="17"/>
        <v>62974753.033825003</v>
      </c>
      <c r="F22" s="120">
        <f t="shared" si="17"/>
        <v>73158629.440691501</v>
      </c>
      <c r="G22" s="120">
        <f t="shared" si="17"/>
        <v>79709596.605577484</v>
      </c>
      <c r="H22" s="120">
        <f t="shared" si="17"/>
        <v>85234327.124874651</v>
      </c>
      <c r="I22" s="120">
        <f t="shared" ref="I22" si="18">SUM(I16:I21)</f>
        <v>0</v>
      </c>
      <c r="J22" s="192">
        <f t="shared" si="11"/>
        <v>5148113.3475750089</v>
      </c>
      <c r="K22" s="215">
        <f>SUM(K16:K21)</f>
        <v>0.8837111614168538</v>
      </c>
      <c r="L22" s="215">
        <f t="shared" ref="L22:O22" si="19">SUM(L16:L21)</f>
        <v>0.88453791113191149</v>
      </c>
      <c r="M22" s="215">
        <f t="shared" si="19"/>
        <v>0.8721204369740756</v>
      </c>
      <c r="N22" s="215">
        <f t="shared" si="19"/>
        <v>0.86771273639764479</v>
      </c>
      <c r="O22" s="215">
        <f t="shared" si="19"/>
        <v>0.86381574119828364</v>
      </c>
      <c r="P22" s="215"/>
    </row>
    <row r="23" spans="3:16" x14ac:dyDescent="0.25">
      <c r="C23" s="112"/>
      <c r="D23" s="123"/>
      <c r="E23" s="123"/>
      <c r="F23" s="123"/>
      <c r="G23" s="123"/>
      <c r="H23" s="123"/>
      <c r="I23" s="123"/>
      <c r="J23" s="192"/>
      <c r="K23" s="191"/>
      <c r="L23" s="191"/>
      <c r="M23" s="191"/>
    </row>
    <row r="24" spans="3:16" x14ac:dyDescent="0.25">
      <c r="C24" s="124" t="s">
        <v>205</v>
      </c>
      <c r="D24" s="125">
        <f t="shared" ref="D24:H24" si="20">D13-D22</f>
        <v>7609491.722950004</v>
      </c>
      <c r="E24" s="125">
        <f t="shared" si="20"/>
        <v>8220333.396374993</v>
      </c>
      <c r="F24" s="125">
        <f t="shared" si="20"/>
        <v>10727295.414508507</v>
      </c>
      <c r="G24" s="125">
        <f t="shared" si="20"/>
        <v>12152137.424622521</v>
      </c>
      <c r="H24" s="125">
        <f t="shared" si="20"/>
        <v>13437557.467825353</v>
      </c>
      <c r="I24" s="125">
        <f t="shared" ref="I24" si="21">I13-I22</f>
        <v>0</v>
      </c>
      <c r="J24" s="192"/>
      <c r="K24" s="191"/>
      <c r="L24" s="191"/>
      <c r="M24" s="191"/>
    </row>
    <row r="25" spans="3:16" x14ac:dyDescent="0.25">
      <c r="C25" s="116" t="s">
        <v>274</v>
      </c>
      <c r="D25" s="126">
        <f>'FY26'!T212</f>
        <v>167000</v>
      </c>
      <c r="E25" s="96"/>
      <c r="F25" s="96"/>
      <c r="G25" s="96"/>
      <c r="H25" s="96"/>
      <c r="I25" s="96"/>
      <c r="J25" s="192"/>
      <c r="K25" s="191"/>
      <c r="L25" s="191"/>
      <c r="M25" s="191"/>
    </row>
    <row r="26" spans="3:16" x14ac:dyDescent="0.25">
      <c r="C26" s="116" t="s">
        <v>320</v>
      </c>
      <c r="D26" s="126"/>
      <c r="E26" s="96">
        <f>'FY27'!AJ212</f>
        <v>0</v>
      </c>
      <c r="F26" s="96">
        <f>'FY28'!AJ212</f>
        <v>1650000</v>
      </c>
      <c r="G26" s="96">
        <f>'FY29'!AJ212</f>
        <v>2323063</v>
      </c>
      <c r="H26" s="96">
        <f>'FY30'!AJ212</f>
        <v>2554000</v>
      </c>
      <c r="I26" s="96">
        <f>'FY30'!AK212</f>
        <v>0</v>
      </c>
      <c r="J26" s="192"/>
      <c r="K26" s="191"/>
      <c r="L26" s="191"/>
      <c r="M26" s="191"/>
    </row>
    <row r="27" spans="3:16" x14ac:dyDescent="0.25">
      <c r="C27" s="116" t="s">
        <v>275</v>
      </c>
      <c r="D27" s="96">
        <f>'FY26'!F216</f>
        <v>1016513</v>
      </c>
      <c r="E27" s="96">
        <f>'FY27'!F216</f>
        <v>1017382</v>
      </c>
      <c r="F27" s="96">
        <f>'FY28'!F216</f>
        <v>1017538</v>
      </c>
      <c r="G27" s="96">
        <f>'FY29'!F216</f>
        <v>1019482</v>
      </c>
      <c r="H27" s="96">
        <f>'FY30'!F216</f>
        <v>1022207</v>
      </c>
      <c r="I27" s="96">
        <f>'FY30'!G216</f>
        <v>0</v>
      </c>
      <c r="J27" s="192"/>
      <c r="K27" s="191"/>
      <c r="L27" s="191"/>
      <c r="M27" s="191"/>
    </row>
    <row r="28" spans="3:16" x14ac:dyDescent="0.25">
      <c r="C28" s="116" t="s">
        <v>276</v>
      </c>
      <c r="D28" s="96">
        <f>'FY26'!L216</f>
        <v>984800</v>
      </c>
      <c r="E28" s="96">
        <f>'FY27'!L216</f>
        <v>983000</v>
      </c>
      <c r="F28" s="96">
        <f>'FY28'!L216</f>
        <v>983300</v>
      </c>
      <c r="G28" s="96">
        <f>'FY29'!L216</f>
        <v>985600</v>
      </c>
      <c r="H28" s="96">
        <f>'FY30'!L216</f>
        <v>984800</v>
      </c>
      <c r="I28" s="96">
        <f>'FY30'!M216</f>
        <v>0</v>
      </c>
      <c r="J28" s="168"/>
    </row>
    <row r="29" spans="3:16" x14ac:dyDescent="0.25">
      <c r="C29" s="116" t="s">
        <v>277</v>
      </c>
      <c r="D29" s="96">
        <f>'FY26'!R216</f>
        <v>3615100</v>
      </c>
      <c r="E29" s="96">
        <f>'FY27'!R216</f>
        <v>3617375</v>
      </c>
      <c r="F29" s="96">
        <f>'FY28'!R216</f>
        <v>3618000</v>
      </c>
      <c r="G29" s="96">
        <f>'FY29'!R216</f>
        <v>3618875</v>
      </c>
      <c r="H29" s="96">
        <f>'FY30'!R216</f>
        <v>3619875</v>
      </c>
      <c r="I29" s="96">
        <f>'FY30'!S216</f>
        <v>0</v>
      </c>
      <c r="J29" s="168"/>
    </row>
    <row r="30" spans="3:16" x14ac:dyDescent="0.25">
      <c r="C30" s="116" t="s">
        <v>278</v>
      </c>
      <c r="D30" s="96">
        <f>'FY26'!T213+'FY26'!T214</f>
        <v>885665</v>
      </c>
      <c r="E30" s="96">
        <f>'FY27'!X216</f>
        <v>1251415</v>
      </c>
      <c r="F30" s="96">
        <f>'FY28'!X216</f>
        <v>1257438</v>
      </c>
      <c r="G30" s="96">
        <f>'FY29'!X216</f>
        <v>1267938</v>
      </c>
      <c r="H30" s="96">
        <f>'FY30'!X216</f>
        <v>1280813</v>
      </c>
      <c r="I30" s="96">
        <f>'FY30'!AE216</f>
        <v>0</v>
      </c>
      <c r="J30" s="168"/>
    </row>
    <row r="31" spans="3:16" ht="16.5" x14ac:dyDescent="0.25">
      <c r="C31" s="119" t="s">
        <v>206</v>
      </c>
      <c r="D31" s="127">
        <f t="shared" ref="D31:I31" si="22">SUM(D25:D30)</f>
        <v>6669078</v>
      </c>
      <c r="E31" s="127">
        <f t="shared" si="22"/>
        <v>6869172</v>
      </c>
      <c r="F31" s="127">
        <f t="shared" si="22"/>
        <v>8526276</v>
      </c>
      <c r="G31" s="127">
        <f t="shared" si="22"/>
        <v>9214958</v>
      </c>
      <c r="H31" s="127">
        <f t="shared" si="22"/>
        <v>9461695</v>
      </c>
      <c r="I31" s="127">
        <f t="shared" si="22"/>
        <v>0</v>
      </c>
      <c r="K31" s="217">
        <f>D31/D13</f>
        <v>0.10191736363959866</v>
      </c>
      <c r="L31" s="217">
        <f t="shared" ref="L31:O31" si="23">E31/E13</f>
        <v>9.6483793256358627E-2</v>
      </c>
      <c r="M31" s="217">
        <f t="shared" si="23"/>
        <v>0.10164131842997097</v>
      </c>
      <c r="N31" s="217">
        <f t="shared" si="23"/>
        <v>0.10031334698047978</v>
      </c>
      <c r="O31" s="217">
        <f t="shared" si="23"/>
        <v>9.5890486322990534E-2</v>
      </c>
    </row>
    <row r="32" spans="3:16" x14ac:dyDescent="0.25">
      <c r="C32" s="101"/>
      <c r="D32" s="128"/>
      <c r="E32" s="128"/>
      <c r="F32" s="128"/>
      <c r="G32" s="128"/>
      <c r="H32" s="128"/>
      <c r="I32" s="128"/>
    </row>
    <row r="33" spans="3:9" x14ac:dyDescent="0.25">
      <c r="C33" s="129" t="s">
        <v>207</v>
      </c>
      <c r="D33" s="130">
        <f t="shared" ref="D33:I33" si="24">IFERROR(D24/D31,"-   ")</f>
        <v>1.1410110547439998</v>
      </c>
      <c r="E33" s="130">
        <f t="shared" si="24"/>
        <v>1.1966993105391732</v>
      </c>
      <c r="F33" s="130">
        <f t="shared" si="24"/>
        <v>1.2581454569976982</v>
      </c>
      <c r="G33" s="130">
        <f t="shared" si="24"/>
        <v>1.3187404027910405</v>
      </c>
      <c r="H33" s="130">
        <f t="shared" si="24"/>
        <v>1.4202061541642754</v>
      </c>
      <c r="I33" s="130" t="str">
        <f t="shared" si="24"/>
        <v xml:space="preserve">-   </v>
      </c>
    </row>
    <row r="34" spans="3:9" x14ac:dyDescent="0.25">
      <c r="C34" s="131"/>
      <c r="D34" s="132"/>
      <c r="E34" s="132"/>
      <c r="F34" s="132"/>
      <c r="G34" s="132"/>
      <c r="H34" s="132"/>
      <c r="I34" s="132"/>
    </row>
    <row r="35" spans="3:9" ht="16.5" x14ac:dyDescent="0.25">
      <c r="C35" s="133" t="s">
        <v>208</v>
      </c>
      <c r="D35" s="134">
        <f>1037250+1003000+3624250+1280000</f>
        <v>6944500</v>
      </c>
      <c r="E35" s="134">
        <f t="shared" ref="E35:I35" si="25">D35</f>
        <v>6944500</v>
      </c>
      <c r="F35" s="134">
        <f t="shared" si="25"/>
        <v>6944500</v>
      </c>
      <c r="G35" s="134">
        <f t="shared" si="25"/>
        <v>6944500</v>
      </c>
      <c r="H35" s="134">
        <f t="shared" si="25"/>
        <v>6944500</v>
      </c>
      <c r="I35" s="134">
        <f t="shared" si="25"/>
        <v>6944500</v>
      </c>
    </row>
    <row r="36" spans="3:9" x14ac:dyDescent="0.25">
      <c r="C36" s="135" t="s">
        <v>209</v>
      </c>
      <c r="D36" s="136">
        <f t="shared" ref="D36:I36" si="26">D24/D35</f>
        <v>1.0957580420404642</v>
      </c>
      <c r="E36" s="136">
        <f t="shared" si="26"/>
        <v>1.1837185393296843</v>
      </c>
      <c r="F36" s="136">
        <f t="shared" si="26"/>
        <v>1.5447181819437694</v>
      </c>
      <c r="G36" s="136">
        <f t="shared" si="26"/>
        <v>1.7498937899953231</v>
      </c>
      <c r="H36" s="136">
        <f t="shared" si="26"/>
        <v>1.9349927954244874</v>
      </c>
      <c r="I36" s="136">
        <f t="shared" si="26"/>
        <v>0</v>
      </c>
    </row>
    <row r="37" spans="3:9" x14ac:dyDescent="0.25">
      <c r="C37" s="121"/>
      <c r="D37" s="121"/>
      <c r="E37" s="121"/>
      <c r="F37" s="121"/>
      <c r="G37" s="121"/>
      <c r="H37" s="121"/>
      <c r="I37" s="121"/>
    </row>
    <row r="38" spans="3:9" x14ac:dyDescent="0.25">
      <c r="C38" s="233" t="s">
        <v>210</v>
      </c>
      <c r="D38" s="233"/>
      <c r="E38" s="233"/>
      <c r="F38" s="233"/>
      <c r="G38" s="233"/>
      <c r="H38" s="233"/>
    </row>
    <row r="39" spans="3:9" x14ac:dyDescent="0.25">
      <c r="C39" s="112" t="s">
        <v>283</v>
      </c>
      <c r="D39" s="117">
        <f>8724995+2265090</f>
        <v>10990085</v>
      </c>
      <c r="E39" s="117">
        <f t="shared" ref="E39:I39" si="27">D41</f>
        <v>11930498.722950004</v>
      </c>
      <c r="F39" s="117">
        <f t="shared" si="27"/>
        <v>13281660.119324997</v>
      </c>
      <c r="G39" s="117">
        <f t="shared" si="27"/>
        <v>15482679.533833504</v>
      </c>
      <c r="H39" s="117">
        <f t="shared" si="27"/>
        <v>18419858.958456025</v>
      </c>
      <c r="I39" s="117">
        <f t="shared" si="27"/>
        <v>22395721.426281378</v>
      </c>
    </row>
    <row r="40" spans="3:9" x14ac:dyDescent="0.25">
      <c r="C40" s="112" t="s">
        <v>211</v>
      </c>
      <c r="D40" s="137">
        <f t="shared" ref="D40:I40" si="28">D24-D31</f>
        <v>940413.72295000404</v>
      </c>
      <c r="E40" s="137">
        <f t="shared" si="28"/>
        <v>1351161.396374993</v>
      </c>
      <c r="F40" s="137">
        <f t="shared" si="28"/>
        <v>2201019.4145085067</v>
      </c>
      <c r="G40" s="137">
        <f t="shared" si="28"/>
        <v>2937179.4246225208</v>
      </c>
      <c r="H40" s="137">
        <f t="shared" si="28"/>
        <v>3975862.4678253531</v>
      </c>
      <c r="I40" s="137">
        <f t="shared" si="28"/>
        <v>0</v>
      </c>
    </row>
    <row r="41" spans="3:9" ht="16.5" x14ac:dyDescent="0.25">
      <c r="C41" s="112" t="s">
        <v>212</v>
      </c>
      <c r="D41" s="137">
        <f t="shared" ref="D41:H41" si="29">D39+D40</f>
        <v>11930498.722950004</v>
      </c>
      <c r="E41" s="137">
        <f t="shared" si="29"/>
        <v>13281660.119324997</v>
      </c>
      <c r="F41" s="137">
        <f t="shared" si="29"/>
        <v>15482679.533833504</v>
      </c>
      <c r="G41" s="137">
        <f t="shared" si="29"/>
        <v>18419858.958456025</v>
      </c>
      <c r="H41" s="137">
        <f t="shared" si="29"/>
        <v>22395721.426281378</v>
      </c>
      <c r="I41" s="137">
        <f t="shared" ref="I41" si="30">I39+I40</f>
        <v>22395721.426281378</v>
      </c>
    </row>
    <row r="42" spans="3:9" x14ac:dyDescent="0.25">
      <c r="C42" s="138" t="s">
        <v>213</v>
      </c>
      <c r="D42" s="138">
        <f>D41/((D31+D22)/365)</f>
        <v>67.518157640489775</v>
      </c>
      <c r="E42" s="138">
        <f t="shared" ref="E42:H42" si="31">E41/((E31+E22)/365)</f>
        <v>69.409128155467485</v>
      </c>
      <c r="F42" s="138">
        <f t="shared" si="31"/>
        <v>69.182647630685537</v>
      </c>
      <c r="G42" s="138">
        <f t="shared" si="31"/>
        <v>75.606209664554854</v>
      </c>
      <c r="H42" s="138">
        <f t="shared" si="31"/>
        <v>86.322932443911498</v>
      </c>
      <c r="I42" s="138" t="e">
        <f t="shared" ref="I42" si="32">I41/((I31+I22)/365)</f>
        <v>#DIV/0!</v>
      </c>
    </row>
    <row r="44" spans="3:9" x14ac:dyDescent="0.25">
      <c r="C44" s="139" t="s">
        <v>214</v>
      </c>
      <c r="D44" s="114"/>
      <c r="E44" s="114"/>
      <c r="F44" s="114"/>
      <c r="G44" s="114"/>
      <c r="H44" s="114"/>
      <c r="I44" s="114"/>
    </row>
    <row r="45" spans="3:9" x14ac:dyDescent="0.25">
      <c r="C45" s="140" t="s">
        <v>215</v>
      </c>
      <c r="D45" s="141"/>
      <c r="E45" s="141"/>
      <c r="F45" s="141"/>
      <c r="G45" s="141"/>
      <c r="H45" s="141"/>
      <c r="I45" s="141"/>
    </row>
    <row r="46" spans="3:9" x14ac:dyDescent="0.25">
      <c r="C46" t="s">
        <v>279</v>
      </c>
      <c r="D46" s="141"/>
      <c r="E46" s="141"/>
      <c r="F46" s="141"/>
      <c r="G46" s="141"/>
      <c r="H46" s="141"/>
      <c r="I46" s="141"/>
    </row>
    <row r="47" spans="3:9" x14ac:dyDescent="0.25">
      <c r="C47" t="s">
        <v>281</v>
      </c>
      <c r="D47" s="141"/>
      <c r="E47" s="141"/>
      <c r="F47" s="141"/>
      <c r="G47" s="141"/>
      <c r="H47" s="141"/>
      <c r="I47" s="141"/>
    </row>
    <row r="48" spans="3:9" x14ac:dyDescent="0.25">
      <c r="C48" t="s">
        <v>282</v>
      </c>
      <c r="D48" s="141"/>
      <c r="E48" s="141"/>
      <c r="F48" s="141"/>
      <c r="G48" s="141"/>
      <c r="H48" s="141"/>
      <c r="I48" s="141"/>
    </row>
    <row r="50" spans="3:9" x14ac:dyDescent="0.25">
      <c r="C50" s="139" t="s">
        <v>216</v>
      </c>
      <c r="D50" s="114"/>
      <c r="E50" s="114"/>
      <c r="F50" s="114"/>
      <c r="G50" s="114"/>
      <c r="H50" s="114"/>
      <c r="I50" s="114"/>
    </row>
    <row r="51" spans="3:9" x14ac:dyDescent="0.25">
      <c r="C51" s="142" t="s">
        <v>217</v>
      </c>
      <c r="D51" s="141"/>
      <c r="E51" s="141"/>
      <c r="F51" s="141"/>
      <c r="G51" s="141"/>
      <c r="H51" s="141"/>
      <c r="I51" s="141"/>
    </row>
    <row r="52" spans="3:9" x14ac:dyDescent="0.25">
      <c r="C52" t="s">
        <v>218</v>
      </c>
    </row>
    <row r="53" spans="3:9" x14ac:dyDescent="0.25">
      <c r="C53" t="s">
        <v>219</v>
      </c>
      <c r="G53" s="116"/>
      <c r="H53" s="116"/>
      <c r="I53" s="116"/>
    </row>
    <row r="54" spans="3:9" x14ac:dyDescent="0.25">
      <c r="C54" t="s">
        <v>220</v>
      </c>
      <c r="G54" s="143"/>
      <c r="H54" s="143"/>
      <c r="I54" s="143"/>
    </row>
    <row r="55" spans="3:9" x14ac:dyDescent="0.25">
      <c r="C55" s="142" t="s">
        <v>221</v>
      </c>
      <c r="G55" s="144"/>
      <c r="H55" s="144"/>
      <c r="I55" s="144"/>
    </row>
  </sheetData>
  <mergeCells count="1">
    <mergeCell ref="C38:H38"/>
  </mergeCells>
  <pageMargins left="0.7" right="0.7" top="0.75" bottom="0.75" header="0.3" footer="0.3"/>
  <pageSetup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DDB93-0C38-4D09-BE3C-D13440076ABD}">
  <dimension ref="A1:W67"/>
  <sheetViews>
    <sheetView workbookViewId="0">
      <selection activeCell="C13" sqref="C13"/>
    </sheetView>
  </sheetViews>
  <sheetFormatPr defaultColWidth="8.85546875" defaultRowHeight="12.75" x14ac:dyDescent="0.2"/>
  <cols>
    <col min="1" max="1" width="8.85546875" style="146"/>
    <col min="2" max="2" width="19.5703125" style="146" bestFit="1" customWidth="1"/>
    <col min="3" max="5" width="18.85546875" style="146" customWidth="1"/>
    <col min="6" max="6" width="8.85546875" style="146"/>
    <col min="7" max="7" width="19.5703125" style="146" bestFit="1" customWidth="1"/>
    <col min="8" max="10" width="18.85546875" style="146" customWidth="1"/>
    <col min="11" max="11" width="8.85546875" style="146"/>
    <col min="12" max="12" width="19.5703125" style="146" bestFit="1" customWidth="1"/>
    <col min="13" max="15" width="18.85546875" style="146" customWidth="1"/>
    <col min="16" max="16" width="8.85546875" style="146"/>
    <col min="17" max="17" width="19.5703125" style="146" bestFit="1" customWidth="1"/>
    <col min="18" max="20" width="18.85546875" style="146" customWidth="1"/>
    <col min="21" max="21" width="8.85546875" style="146"/>
    <col min="22" max="22" width="18" style="146" customWidth="1"/>
    <col min="23" max="16384" width="8.85546875" style="146"/>
  </cols>
  <sheetData>
    <row r="1" spans="1:22" ht="15.75" x14ac:dyDescent="0.25">
      <c r="A1" s="145"/>
      <c r="B1" s="234" t="s">
        <v>227</v>
      </c>
      <c r="C1" s="234"/>
      <c r="D1" s="234"/>
      <c r="E1" s="234"/>
      <c r="F1" s="145"/>
      <c r="G1" s="234" t="s">
        <v>228</v>
      </c>
      <c r="H1" s="234"/>
      <c r="I1" s="234"/>
      <c r="J1" s="234"/>
      <c r="L1" s="234" t="s">
        <v>324</v>
      </c>
      <c r="M1" s="234"/>
      <c r="N1" s="234"/>
      <c r="O1" s="234"/>
      <c r="Q1" s="234" t="s">
        <v>286</v>
      </c>
      <c r="R1" s="234"/>
      <c r="S1" s="234"/>
      <c r="T1" s="234"/>
    </row>
    <row r="2" spans="1:22" ht="15.75" x14ac:dyDescent="0.25">
      <c r="A2" s="145"/>
      <c r="B2" s="234" t="s">
        <v>229</v>
      </c>
      <c r="C2" s="234"/>
      <c r="D2" s="234"/>
      <c r="E2" s="234"/>
      <c r="F2" s="145"/>
      <c r="G2" s="234" t="s">
        <v>230</v>
      </c>
      <c r="H2" s="234"/>
      <c r="I2" s="234"/>
      <c r="J2" s="234"/>
      <c r="L2" s="234" t="s">
        <v>325</v>
      </c>
      <c r="M2" s="234"/>
      <c r="N2" s="234"/>
      <c r="O2" s="234"/>
      <c r="Q2" s="234" t="s">
        <v>326</v>
      </c>
      <c r="R2" s="234"/>
      <c r="S2" s="234"/>
      <c r="T2" s="234"/>
    </row>
    <row r="3" spans="1:22" ht="15" x14ac:dyDescent="0.25">
      <c r="H3" s="235"/>
      <c r="I3" s="235"/>
      <c r="M3" s="235"/>
      <c r="N3" s="235"/>
      <c r="R3" s="235"/>
      <c r="S3" s="235"/>
    </row>
    <row r="4" spans="1:22" ht="15" x14ac:dyDescent="0.25">
      <c r="B4" s="147" t="s">
        <v>183</v>
      </c>
      <c r="C4" s="148" t="s">
        <v>34</v>
      </c>
      <c r="D4" s="148" t="s">
        <v>231</v>
      </c>
      <c r="E4" s="147" t="s">
        <v>232</v>
      </c>
      <c r="G4" s="147" t="s">
        <v>183</v>
      </c>
      <c r="H4" s="148" t="s">
        <v>34</v>
      </c>
      <c r="I4" s="148" t="s">
        <v>231</v>
      </c>
      <c r="J4" s="147" t="s">
        <v>232</v>
      </c>
      <c r="L4" s="147" t="s">
        <v>183</v>
      </c>
      <c r="M4" s="148" t="s">
        <v>34</v>
      </c>
      <c r="N4" s="148" t="s">
        <v>231</v>
      </c>
      <c r="O4" s="147" t="s">
        <v>232</v>
      </c>
      <c r="Q4" s="147" t="s">
        <v>183</v>
      </c>
      <c r="R4" s="148" t="s">
        <v>34</v>
      </c>
      <c r="S4" s="148" t="s">
        <v>231</v>
      </c>
      <c r="T4" s="147" t="s">
        <v>232</v>
      </c>
    </row>
    <row r="5" spans="1:22" x14ac:dyDescent="0.2">
      <c r="B5" s="149"/>
      <c r="C5" s="150"/>
      <c r="D5" s="150"/>
      <c r="E5" s="150"/>
      <c r="G5" s="149"/>
      <c r="H5" s="150"/>
      <c r="I5" s="150"/>
      <c r="J5" s="150"/>
      <c r="L5" s="149"/>
      <c r="M5" s="150"/>
      <c r="N5" s="150"/>
      <c r="O5" s="150"/>
      <c r="Q5" s="149"/>
      <c r="R5" s="150"/>
      <c r="S5" s="150"/>
      <c r="T5" s="150"/>
    </row>
    <row r="6" spans="1:22" x14ac:dyDescent="0.2">
      <c r="B6" s="149">
        <v>43617</v>
      </c>
      <c r="C6" s="150">
        <f>0</f>
        <v>0</v>
      </c>
      <c r="D6" s="150">
        <f>75744.62*4+75744.61</f>
        <v>378723.08999999997</v>
      </c>
      <c r="E6" s="150">
        <f t="shared" ref="E6:E36" si="0">C6+D6</f>
        <v>378723.08999999997</v>
      </c>
      <c r="G6" s="149">
        <v>43617</v>
      </c>
      <c r="H6" s="150"/>
      <c r="I6" s="150"/>
      <c r="J6" s="150">
        <f t="shared" ref="J6:J48" si="1">H6+I6</f>
        <v>0</v>
      </c>
      <c r="L6" s="149">
        <v>43617</v>
      </c>
      <c r="M6" s="150"/>
      <c r="N6" s="150"/>
      <c r="O6" s="150">
        <f>SUM(M6:N6)</f>
        <v>0</v>
      </c>
      <c r="Q6" s="149">
        <v>43617</v>
      </c>
      <c r="R6" s="150"/>
      <c r="S6" s="150"/>
      <c r="T6" s="150">
        <f>SUM(R6:S6)</f>
        <v>0</v>
      </c>
      <c r="V6" s="150">
        <f>E6+J6+O6+T6</f>
        <v>378723.08999999997</v>
      </c>
    </row>
    <row r="7" spans="1:22" x14ac:dyDescent="0.2">
      <c r="B7" s="149">
        <v>43983</v>
      </c>
      <c r="C7" s="150">
        <f>10833.33*5+10833.35</f>
        <v>65000</v>
      </c>
      <c r="D7" s="150">
        <f>64923.96*11+64923.94</f>
        <v>779087.5</v>
      </c>
      <c r="E7" s="150">
        <f t="shared" si="0"/>
        <v>844087.5</v>
      </c>
      <c r="G7" s="149">
        <v>43983</v>
      </c>
      <c r="H7" s="150"/>
      <c r="I7" s="150"/>
      <c r="J7" s="150">
        <f t="shared" si="1"/>
        <v>0</v>
      </c>
      <c r="L7" s="149">
        <v>43983</v>
      </c>
      <c r="M7" s="150"/>
      <c r="N7" s="150"/>
      <c r="O7" s="150">
        <f t="shared" ref="O7:O42" si="2">SUM(M7:N7)</f>
        <v>0</v>
      </c>
      <c r="Q7" s="149">
        <v>43983</v>
      </c>
      <c r="R7" s="150"/>
      <c r="S7" s="150"/>
      <c r="T7" s="150">
        <f t="shared" ref="T7:T42" si="3">SUM(R7:S7)</f>
        <v>0</v>
      </c>
      <c r="V7" s="150">
        <f t="shared" ref="V7:V48" si="4">E7+J7+O7+T7</f>
        <v>844087.5</v>
      </c>
    </row>
    <row r="8" spans="1:22" x14ac:dyDescent="0.2">
      <c r="B8" s="149">
        <v>44348</v>
      </c>
      <c r="C8" s="150">
        <f>10833.33*6+11250*5+11250.02</f>
        <v>132500</v>
      </c>
      <c r="D8" s="150">
        <f>64923.96*6+64328.13*5+64328.09</f>
        <v>775512.49999999988</v>
      </c>
      <c r="E8" s="150">
        <f t="shared" si="0"/>
        <v>908012.49999999988</v>
      </c>
      <c r="G8" s="149">
        <v>44348</v>
      </c>
      <c r="H8" s="150">
        <f>16250*6</f>
        <v>97500</v>
      </c>
      <c r="I8" s="150">
        <f>79252.36*5+79252.37</f>
        <v>475514.17</v>
      </c>
      <c r="J8" s="150">
        <f t="shared" si="1"/>
        <v>573014.16999999993</v>
      </c>
      <c r="L8" s="149">
        <v>44348</v>
      </c>
      <c r="M8" s="150"/>
      <c r="N8" s="150"/>
      <c r="O8" s="150">
        <f t="shared" si="2"/>
        <v>0</v>
      </c>
      <c r="Q8" s="149">
        <v>44348</v>
      </c>
      <c r="R8" s="150"/>
      <c r="S8" s="150"/>
      <c r="T8" s="150">
        <f t="shared" si="3"/>
        <v>0</v>
      </c>
      <c r="V8" s="150">
        <f t="shared" si="4"/>
        <v>1481026.67</v>
      </c>
    </row>
    <row r="9" spans="1:22" x14ac:dyDescent="0.2">
      <c r="B9" s="149">
        <v>44713</v>
      </c>
      <c r="C9" s="150">
        <f>11250*6+20416.67*5+20416.65</f>
        <v>189999.99999999997</v>
      </c>
      <c r="D9" s="150">
        <f>64328.13*6+63709.38*5+63709.32</f>
        <v>768224.99999999988</v>
      </c>
      <c r="E9" s="150">
        <f t="shared" si="0"/>
        <v>958224.99999999988</v>
      </c>
      <c r="G9" s="149">
        <v>44713</v>
      </c>
      <c r="H9" s="150">
        <f>16250*6+17083.33*5+17083.35</f>
        <v>200000.00000000003</v>
      </c>
      <c r="I9" s="150">
        <f>61225*6+60514.06*5+60514.08</f>
        <v>730434.38</v>
      </c>
      <c r="J9" s="150">
        <f t="shared" si="1"/>
        <v>930434.38</v>
      </c>
      <c r="L9" s="149">
        <v>44713</v>
      </c>
      <c r="M9" s="150"/>
      <c r="N9" s="150"/>
      <c r="O9" s="150">
        <f t="shared" si="2"/>
        <v>0</v>
      </c>
      <c r="Q9" s="149">
        <v>44713</v>
      </c>
      <c r="R9" s="150"/>
      <c r="S9" s="150"/>
      <c r="T9" s="150">
        <f t="shared" si="3"/>
        <v>0</v>
      </c>
      <c r="V9" s="150">
        <f t="shared" si="4"/>
        <v>1888659.38</v>
      </c>
    </row>
    <row r="10" spans="1:22" x14ac:dyDescent="0.2">
      <c r="B10" s="149">
        <v>45078</v>
      </c>
      <c r="C10" s="150">
        <f>20416.67*6+22083.33*6</f>
        <v>255000</v>
      </c>
      <c r="D10" s="150">
        <f>63709.38*6+62648.96*5+62648.92</f>
        <v>758150</v>
      </c>
      <c r="E10" s="150">
        <f t="shared" si="0"/>
        <v>1013150</v>
      </c>
      <c r="G10" s="149">
        <v>45078</v>
      </c>
      <c r="H10" s="150">
        <f>17083.33*6+22083.33*5+22083.37</f>
        <v>235000</v>
      </c>
      <c r="I10" s="150">
        <f>60514.06*6+59766.67*6</f>
        <v>721684.38</v>
      </c>
      <c r="J10" s="150">
        <f t="shared" si="1"/>
        <v>956684.38</v>
      </c>
      <c r="L10" s="149">
        <v>45078</v>
      </c>
      <c r="M10" s="150"/>
      <c r="N10" s="150"/>
      <c r="O10" s="150">
        <f t="shared" si="2"/>
        <v>0</v>
      </c>
      <c r="Q10" s="149">
        <v>45078</v>
      </c>
      <c r="R10" s="150"/>
      <c r="S10" s="150"/>
      <c r="T10" s="150">
        <f t="shared" si="3"/>
        <v>0</v>
      </c>
      <c r="V10" s="150">
        <f t="shared" si="4"/>
        <v>1969834.38</v>
      </c>
    </row>
    <row r="11" spans="1:22" x14ac:dyDescent="0.2">
      <c r="B11" s="149">
        <v>45444</v>
      </c>
      <c r="C11" s="150">
        <f>22083.33*6+23333.33*5+23333.37</f>
        <v>272500</v>
      </c>
      <c r="D11" s="150">
        <f>62648.96*6+61600*5+61599.99</f>
        <v>745493.75</v>
      </c>
      <c r="E11" s="150">
        <f t="shared" si="0"/>
        <v>1017993.75</v>
      </c>
      <c r="G11" s="149">
        <v>45444</v>
      </c>
      <c r="H11" s="150">
        <f>22083.33*6+22916.67*6</f>
        <v>270000</v>
      </c>
      <c r="I11" s="150">
        <f>59766.67*6+58883.33*6</f>
        <v>711900</v>
      </c>
      <c r="J11" s="150">
        <f t="shared" si="1"/>
        <v>981900</v>
      </c>
      <c r="L11" s="149">
        <v>45444</v>
      </c>
      <c r="M11" s="150"/>
      <c r="N11" s="150"/>
      <c r="O11" s="150">
        <f t="shared" si="2"/>
        <v>0</v>
      </c>
      <c r="Q11" s="149">
        <v>45444</v>
      </c>
      <c r="R11" s="150"/>
      <c r="S11" s="150"/>
      <c r="T11" s="150">
        <f t="shared" si="3"/>
        <v>0</v>
      </c>
      <c r="V11" s="150">
        <f t="shared" si="4"/>
        <v>1999893.75</v>
      </c>
    </row>
    <row r="12" spans="1:22" x14ac:dyDescent="0.2">
      <c r="B12" s="149">
        <v>45809</v>
      </c>
      <c r="C12" s="150">
        <f>23333.33*6+24166.67*6</f>
        <v>285000</v>
      </c>
      <c r="D12" s="150">
        <f>61600*6+60491.67*5+60491.65</f>
        <v>732550</v>
      </c>
      <c r="E12" s="150">
        <f t="shared" si="0"/>
        <v>1017550</v>
      </c>
      <c r="G12" s="149">
        <v>45809</v>
      </c>
      <c r="H12" s="150">
        <f>22916.67*6+24166.67*5+24166.63</f>
        <v>282500</v>
      </c>
      <c r="I12" s="150">
        <f>58883.33*6+57966.67*6</f>
        <v>701100</v>
      </c>
      <c r="J12" s="150">
        <f t="shared" si="1"/>
        <v>983600</v>
      </c>
      <c r="L12" s="149">
        <v>45809</v>
      </c>
      <c r="M12" s="150">
        <f>67916.67*6-0.02</f>
        <v>407500</v>
      </c>
      <c r="N12" s="150">
        <f>279870*2+233225*6</f>
        <v>1959090</v>
      </c>
      <c r="O12" s="150">
        <f t="shared" si="2"/>
        <v>2366590</v>
      </c>
      <c r="Q12" s="149">
        <v>45809</v>
      </c>
      <c r="R12" s="150"/>
      <c r="S12" s="150">
        <v>0</v>
      </c>
      <c r="T12" s="150">
        <f t="shared" si="3"/>
        <v>0</v>
      </c>
      <c r="V12" s="150">
        <f t="shared" si="4"/>
        <v>4367740</v>
      </c>
    </row>
    <row r="13" spans="1:22" x14ac:dyDescent="0.2">
      <c r="B13" s="149">
        <v>46174</v>
      </c>
      <c r="C13" s="150">
        <f>24166.67*6+25416.67*5+25416.63</f>
        <v>297500</v>
      </c>
      <c r="D13" s="150">
        <f>60491.67*6+59343.75*5+59343.73</f>
        <v>719012.5</v>
      </c>
      <c r="E13" s="150">
        <f t="shared" si="0"/>
        <v>1016512.5</v>
      </c>
      <c r="G13" s="149">
        <v>46174</v>
      </c>
      <c r="H13" s="150">
        <f>24166.67*6+25000*5+24999.98</f>
        <v>295000</v>
      </c>
      <c r="I13" s="150">
        <f>57966.67*6+57000*5+56999.98</f>
        <v>689800</v>
      </c>
      <c r="J13" s="150">
        <f t="shared" si="1"/>
        <v>984800</v>
      </c>
      <c r="L13" s="149">
        <v>46174</v>
      </c>
      <c r="M13" s="150">
        <f>67916.67*6+72083.33*6</f>
        <v>840000</v>
      </c>
      <c r="N13" s="150">
        <f>233225*6+229291.67*6-0.02</f>
        <v>2775100</v>
      </c>
      <c r="O13" s="150">
        <f t="shared" si="2"/>
        <v>3615100</v>
      </c>
      <c r="Q13" s="149">
        <v>46174</v>
      </c>
      <c r="R13" s="150"/>
      <c r="S13" s="150">
        <f>111346.53*3+91937.5*6</f>
        <v>885664.59</v>
      </c>
      <c r="T13" s="150">
        <f t="shared" si="3"/>
        <v>885664.59</v>
      </c>
      <c r="V13" s="150">
        <f t="shared" si="4"/>
        <v>6502077.0899999999</v>
      </c>
    </row>
    <row r="14" spans="1:22" x14ac:dyDescent="0.2">
      <c r="B14" s="149">
        <v>46539</v>
      </c>
      <c r="C14" s="150">
        <f>25416.67*6+26666.67*5+26666.63</f>
        <v>312500</v>
      </c>
      <c r="D14" s="150">
        <f>59343.75*6+58136.46*5+58136.45</f>
        <v>704881.25</v>
      </c>
      <c r="E14" s="150">
        <f>C14+D14</f>
        <v>1017381.25</v>
      </c>
      <c r="G14" s="149">
        <v>46539</v>
      </c>
      <c r="H14" s="150">
        <f>25000*6+25833.33*5+25833.35</f>
        <v>305000</v>
      </c>
      <c r="I14" s="150">
        <f>57000*6+56000*6</f>
        <v>678000</v>
      </c>
      <c r="J14" s="150">
        <f t="shared" si="1"/>
        <v>983000</v>
      </c>
      <c r="L14" s="149">
        <v>46539</v>
      </c>
      <c r="M14" s="150">
        <f>72083.33*6+75833.33*6+0.04</f>
        <v>887500</v>
      </c>
      <c r="N14" s="150">
        <f>229291.67*6+225687.5*6-0.02</f>
        <v>2729875</v>
      </c>
      <c r="O14" s="150">
        <f t="shared" si="2"/>
        <v>3617375</v>
      </c>
      <c r="Q14" s="149">
        <v>46539</v>
      </c>
      <c r="R14" s="150">
        <f>12916.67*6-0.02</f>
        <v>77500</v>
      </c>
      <c r="S14" s="150">
        <f>91937.5*6+91937.5*6</f>
        <v>1103250</v>
      </c>
      <c r="T14" s="150">
        <f t="shared" si="3"/>
        <v>1180750</v>
      </c>
      <c r="V14" s="150">
        <f t="shared" si="4"/>
        <v>6798506.25</v>
      </c>
    </row>
    <row r="15" spans="1:22" x14ac:dyDescent="0.2">
      <c r="B15" s="149">
        <v>46905</v>
      </c>
      <c r="C15" s="150">
        <f>26666.67*6+27916.67*5+27916.63</f>
        <v>327500</v>
      </c>
      <c r="D15" s="150">
        <f>58136.46*6+56869.79*6</f>
        <v>690037.5</v>
      </c>
      <c r="E15" s="150">
        <f t="shared" si="0"/>
        <v>1017537.5</v>
      </c>
      <c r="G15" s="149">
        <v>46905</v>
      </c>
      <c r="H15" s="150">
        <f>25833.33*6+27083.33*5+27083.37</f>
        <v>317500</v>
      </c>
      <c r="I15" s="150">
        <f>56000*6+54966.67*5+54966.65</f>
        <v>665800</v>
      </c>
      <c r="J15" s="150">
        <f t="shared" si="1"/>
        <v>983300</v>
      </c>
      <c r="L15" s="149">
        <v>46905</v>
      </c>
      <c r="M15" s="150">
        <f>75833.33*6+79583.33*6+0.04</f>
        <v>932500</v>
      </c>
      <c r="N15" s="150">
        <f>225687.5*6+221895.83*6+0.02</f>
        <v>2685500</v>
      </c>
      <c r="O15" s="150">
        <f t="shared" si="2"/>
        <v>3618000</v>
      </c>
      <c r="Q15" s="149">
        <v>46905</v>
      </c>
      <c r="R15" s="150">
        <f>12916.67*6+13750*6-0.02</f>
        <v>160000.00000000003</v>
      </c>
      <c r="S15" s="150">
        <f>91937.5*6+90968.75*6</f>
        <v>1097437.5</v>
      </c>
      <c r="T15" s="150">
        <f t="shared" si="3"/>
        <v>1257437.5</v>
      </c>
      <c r="V15" s="150">
        <f t="shared" si="4"/>
        <v>6876275</v>
      </c>
    </row>
    <row r="16" spans="1:22" x14ac:dyDescent="0.2">
      <c r="B16" s="149">
        <v>47270</v>
      </c>
      <c r="C16" s="150">
        <f>27916.67*6+29583.33*6</f>
        <v>345000</v>
      </c>
      <c r="D16" s="150">
        <f>56869.79*6+55543.75*5+55543.76</f>
        <v>674481.25</v>
      </c>
      <c r="E16" s="150">
        <f t="shared" si="0"/>
        <v>1019481.25</v>
      </c>
      <c r="G16" s="149">
        <v>47270</v>
      </c>
      <c r="H16" s="150">
        <f>27083.33*6+28333.33*5+28333.37</f>
        <v>332500</v>
      </c>
      <c r="I16" s="150">
        <f>54966.67*6+53883.33*6</f>
        <v>653100</v>
      </c>
      <c r="J16" s="150">
        <f t="shared" si="1"/>
        <v>985600</v>
      </c>
      <c r="L16" s="149">
        <v>47270</v>
      </c>
      <c r="M16" s="150">
        <f>79583.33*6+83750*6+0.02</f>
        <v>980000</v>
      </c>
      <c r="N16" s="150">
        <f>221895.83*6+217916.67*6</f>
        <v>2638875</v>
      </c>
      <c r="O16" s="150">
        <f t="shared" si="2"/>
        <v>3618875</v>
      </c>
      <c r="Q16" s="149">
        <v>47270</v>
      </c>
      <c r="R16" s="150">
        <f>13750*6+16666.67*6-0.02</f>
        <v>182500</v>
      </c>
      <c r="S16" s="150">
        <f>90968.75*6+89937.5*6</f>
        <v>1085437.5</v>
      </c>
      <c r="T16" s="150">
        <f t="shared" si="3"/>
        <v>1267937.5</v>
      </c>
      <c r="V16" s="150">
        <f t="shared" si="4"/>
        <v>6891893.75</v>
      </c>
    </row>
    <row r="17" spans="2:22" x14ac:dyDescent="0.2">
      <c r="B17" s="149">
        <v>47635</v>
      </c>
      <c r="C17" s="150">
        <f>29583.33*6+31250*5+31250.02</f>
        <v>365000</v>
      </c>
      <c r="D17" s="150">
        <f>55543.75*6+53990.63*5+53990.6</f>
        <v>657206.24999999988</v>
      </c>
      <c r="E17" s="150">
        <f t="shared" si="0"/>
        <v>1022206.2499999999</v>
      </c>
      <c r="G17" s="149">
        <v>47635</v>
      </c>
      <c r="H17" s="150">
        <f>28333.33*6+29166.67*6</f>
        <v>345000</v>
      </c>
      <c r="I17" s="150">
        <f>53883.33*6+52750*5+52750.02</f>
        <v>639800</v>
      </c>
      <c r="J17" s="150">
        <f t="shared" si="1"/>
        <v>984800</v>
      </c>
      <c r="L17" s="149">
        <v>47635</v>
      </c>
      <c r="M17" s="150">
        <f>83750*6+87916.67*6-0.02</f>
        <v>1030000</v>
      </c>
      <c r="N17" s="150">
        <f>217916.67*6+213729.17*6-0.04</f>
        <v>2589875</v>
      </c>
      <c r="O17" s="150">
        <f t="shared" si="2"/>
        <v>3619875</v>
      </c>
      <c r="Q17" s="149">
        <v>47635</v>
      </c>
      <c r="R17" s="150">
        <f>16666.67*6+17916.67*6-0.04</f>
        <v>207499.99999999997</v>
      </c>
      <c r="S17" s="150">
        <f>89937.5*6+88947.92*6-0.02</f>
        <v>1073312.5</v>
      </c>
      <c r="T17" s="150">
        <f t="shared" si="3"/>
        <v>1280812.5</v>
      </c>
      <c r="V17" s="150">
        <f t="shared" si="4"/>
        <v>6907693.75</v>
      </c>
    </row>
    <row r="18" spans="2:22" x14ac:dyDescent="0.2">
      <c r="B18" s="149">
        <v>48000</v>
      </c>
      <c r="C18" s="150">
        <f>31250*6+32916.67*5+32916.65</f>
        <v>385000</v>
      </c>
      <c r="D18" s="150">
        <f>53990.63*6+52350*5+52349.97</f>
        <v>638043.75</v>
      </c>
      <c r="E18" s="150">
        <f t="shared" si="0"/>
        <v>1023043.75</v>
      </c>
      <c r="G18" s="149">
        <v>48000</v>
      </c>
      <c r="H18" s="150">
        <f>29166.67*6+30833.33*6</f>
        <v>360000</v>
      </c>
      <c r="I18" s="150">
        <f>52750*6+51583.33*5+51583.35</f>
        <v>626000</v>
      </c>
      <c r="J18" s="150">
        <f t="shared" si="1"/>
        <v>986000</v>
      </c>
      <c r="L18" s="149">
        <v>48000</v>
      </c>
      <c r="M18" s="150">
        <f>87916.67*6+92500*6-0.02</f>
        <v>1082500</v>
      </c>
      <c r="N18" s="150">
        <f>213729.17*6+209333.33*6</f>
        <v>2538375</v>
      </c>
      <c r="O18" s="150">
        <f t="shared" si="2"/>
        <v>3620875</v>
      </c>
      <c r="Q18" s="149">
        <v>48000</v>
      </c>
      <c r="R18" s="150">
        <f>17916.67*6+18750*6-0.02</f>
        <v>220000</v>
      </c>
      <c r="S18" s="150">
        <f>88947.92*6+88052.08*6</f>
        <v>1062000</v>
      </c>
      <c r="T18" s="150">
        <f t="shared" si="3"/>
        <v>1282000</v>
      </c>
      <c r="V18" s="150">
        <f t="shared" si="4"/>
        <v>6911918.75</v>
      </c>
    </row>
    <row r="19" spans="2:22" x14ac:dyDescent="0.2">
      <c r="B19" s="149">
        <v>48366</v>
      </c>
      <c r="C19" s="150">
        <f>32916.67*6+34583.33*6</f>
        <v>405000</v>
      </c>
      <c r="D19" s="150">
        <f>52350*6+50621.88*5+50621.85</f>
        <v>617831.25</v>
      </c>
      <c r="E19" s="150">
        <f t="shared" si="0"/>
        <v>1022831.25</v>
      </c>
      <c r="G19" s="149">
        <v>48366</v>
      </c>
      <c r="H19" s="150">
        <f>30833.33*6+32500*5+32500.02</f>
        <v>380000</v>
      </c>
      <c r="I19" s="150">
        <f>51583.33*6+50041.67*6</f>
        <v>609750</v>
      </c>
      <c r="J19" s="150">
        <f t="shared" si="1"/>
        <v>989750</v>
      </c>
      <c r="L19" s="149">
        <v>48366</v>
      </c>
      <c r="M19" s="150">
        <f>92500*6+97500*6</f>
        <v>1140000</v>
      </c>
      <c r="N19" s="150">
        <f>209333.33*6+204708.33*6+0.04</f>
        <v>2484250</v>
      </c>
      <c r="O19" s="150">
        <f t="shared" si="2"/>
        <v>3624250</v>
      </c>
      <c r="Q19" s="149">
        <v>48366</v>
      </c>
      <c r="R19" s="150">
        <f>18750*6+20000*6</f>
        <v>232500</v>
      </c>
      <c r="S19" s="150">
        <f>88052.08*6+87114.58*6+0.04</f>
        <v>1051000</v>
      </c>
      <c r="T19" s="150">
        <f t="shared" si="3"/>
        <v>1283500</v>
      </c>
      <c r="V19" s="150">
        <f t="shared" si="4"/>
        <v>6920331.25</v>
      </c>
    </row>
    <row r="20" spans="2:22" x14ac:dyDescent="0.2">
      <c r="B20" s="149">
        <v>48731</v>
      </c>
      <c r="C20" s="150">
        <f>34583.33*6+36250*5+36250.02</f>
        <v>425000</v>
      </c>
      <c r="D20" s="150">
        <f>50621.88*6+48806.25*5+48806.22</f>
        <v>596568.75</v>
      </c>
      <c r="E20" s="150">
        <f t="shared" si="0"/>
        <v>1021568.75</v>
      </c>
      <c r="G20" s="149">
        <v>48731</v>
      </c>
      <c r="H20" s="150">
        <f>32500*6+34166.67*5+34166.65</f>
        <v>400000</v>
      </c>
      <c r="I20" s="150">
        <f>50041.67*6+48416.67*5+48416.63</f>
        <v>590750</v>
      </c>
      <c r="J20" s="150">
        <f t="shared" si="1"/>
        <v>990750</v>
      </c>
      <c r="L20" s="149">
        <v>48731</v>
      </c>
      <c r="M20" s="150">
        <f>97500*6+102083.33*6+0.02</f>
        <v>1197500</v>
      </c>
      <c r="N20" s="150">
        <f>204708.33*6+199833.33*6+0.04</f>
        <v>2427250</v>
      </c>
      <c r="O20" s="150">
        <f t="shared" si="2"/>
        <v>3624750</v>
      </c>
      <c r="Q20" s="149">
        <v>48731</v>
      </c>
      <c r="R20" s="150">
        <f>20000*6+20833.33*6+0.02</f>
        <v>245000</v>
      </c>
      <c r="S20" s="150">
        <f>87114.58*6+86114.58*6+0.04</f>
        <v>1039375</v>
      </c>
      <c r="T20" s="150">
        <f t="shared" si="3"/>
        <v>1284375</v>
      </c>
      <c r="V20" s="150">
        <f t="shared" si="4"/>
        <v>6921443.75</v>
      </c>
    </row>
    <row r="21" spans="2:22" x14ac:dyDescent="0.2">
      <c r="B21" s="149">
        <v>49096</v>
      </c>
      <c r="C21" s="150">
        <f>36250*6+38333.33*5+38333.35</f>
        <v>447500</v>
      </c>
      <c r="D21" s="150">
        <f>48806.25*6+46903.13*5+46903.1</f>
        <v>574256.25</v>
      </c>
      <c r="E21" s="150">
        <f t="shared" si="0"/>
        <v>1021756.25</v>
      </c>
      <c r="G21" s="149">
        <v>49096</v>
      </c>
      <c r="H21" s="150">
        <f>34166.67*6+35833.33*6</f>
        <v>420000</v>
      </c>
      <c r="I21" s="150">
        <f>48416.67*6+46708.33*6</f>
        <v>570750</v>
      </c>
      <c r="J21" s="150">
        <f t="shared" si="1"/>
        <v>990750</v>
      </c>
      <c r="L21" s="149">
        <v>49096</v>
      </c>
      <c r="M21" s="150">
        <f>102083.33*6+107500*6+0.02</f>
        <v>1257500</v>
      </c>
      <c r="N21" s="150">
        <f>199833.33*6+194729.17*6</f>
        <v>2367375</v>
      </c>
      <c r="O21" s="150">
        <f t="shared" si="2"/>
        <v>3624875</v>
      </c>
      <c r="Q21" s="149">
        <v>49096</v>
      </c>
      <c r="R21" s="150">
        <f>20833.33*6+22083.33*6+0.04</f>
        <v>257500.00000000003</v>
      </c>
      <c r="S21" s="150">
        <f>86114.58*6+85072.92*6</f>
        <v>1027125</v>
      </c>
      <c r="T21" s="150">
        <f t="shared" si="3"/>
        <v>1284625</v>
      </c>
      <c r="V21" s="150">
        <f t="shared" si="4"/>
        <v>6922006.25</v>
      </c>
    </row>
    <row r="22" spans="2:22" x14ac:dyDescent="0.2">
      <c r="B22" s="149">
        <v>49461</v>
      </c>
      <c r="C22" s="150">
        <f>38333.33*6+40416.67*6</f>
        <v>472500</v>
      </c>
      <c r="D22" s="150">
        <f>46903.13*6+44890.63*5+44890.57</f>
        <v>550762.49999999988</v>
      </c>
      <c r="E22" s="150">
        <f t="shared" si="0"/>
        <v>1023262.4999999999</v>
      </c>
      <c r="G22" s="149">
        <v>49461</v>
      </c>
      <c r="H22" s="150">
        <f>35833.33*6+37500*5+37500.02</f>
        <v>440000</v>
      </c>
      <c r="I22" s="150">
        <f>46708.33*6+44916.67*6</f>
        <v>549750</v>
      </c>
      <c r="J22" s="150">
        <f t="shared" si="1"/>
        <v>989750</v>
      </c>
      <c r="L22" s="149">
        <v>49461</v>
      </c>
      <c r="M22" s="150">
        <f>107500*6+112916.67*6-0.02</f>
        <v>1322500</v>
      </c>
      <c r="N22" s="150">
        <f>194729.17*6+189354.17*6-0.04</f>
        <v>2304500</v>
      </c>
      <c r="O22" s="150">
        <f t="shared" si="2"/>
        <v>3627000</v>
      </c>
      <c r="Q22" s="149">
        <v>49461</v>
      </c>
      <c r="R22" s="150">
        <f>22083.33*6+22916.67*6</f>
        <v>270000</v>
      </c>
      <c r="S22" s="150">
        <f>85072.92*6+83968.75*6-0.02</f>
        <v>1014250</v>
      </c>
      <c r="T22" s="150">
        <f t="shared" si="3"/>
        <v>1284250</v>
      </c>
      <c r="V22" s="150">
        <f t="shared" si="4"/>
        <v>6924262.5</v>
      </c>
    </row>
    <row r="23" spans="2:22" x14ac:dyDescent="0.2">
      <c r="B23" s="149">
        <v>49827</v>
      </c>
      <c r="C23" s="150">
        <f>40416.67*6+42500*5+42499.98</f>
        <v>497500</v>
      </c>
      <c r="D23" s="150">
        <f>44890.63*6+42768.75*5+42768.72</f>
        <v>525956.25</v>
      </c>
      <c r="E23" s="150">
        <f t="shared" si="0"/>
        <v>1023456.25</v>
      </c>
      <c r="G23" s="149">
        <v>49827</v>
      </c>
      <c r="H23" s="150">
        <f>37500*6+39583.33*5+39583.35</f>
        <v>462500</v>
      </c>
      <c r="I23" s="150">
        <f>44916.67*6+43041.67*5+43041.63</f>
        <v>527750</v>
      </c>
      <c r="J23" s="150">
        <f t="shared" si="1"/>
        <v>990250</v>
      </c>
      <c r="L23" s="149">
        <v>49827</v>
      </c>
      <c r="M23" s="150">
        <f>112916.67*6+118750*6-0.02</f>
        <v>1390000</v>
      </c>
      <c r="N23" s="150">
        <f>189354.17*6+183708.33*6</f>
        <v>2238375</v>
      </c>
      <c r="O23" s="150">
        <f t="shared" si="2"/>
        <v>3628375</v>
      </c>
      <c r="Q23" s="149">
        <v>49827</v>
      </c>
      <c r="R23" s="150">
        <f>22916.67*6+24166.67*6-0.04</f>
        <v>282500</v>
      </c>
      <c r="S23" s="150">
        <f>83968.75*6+82822.92*6-0.02</f>
        <v>1000750</v>
      </c>
      <c r="T23" s="150">
        <f t="shared" si="3"/>
        <v>1283250</v>
      </c>
      <c r="V23" s="150">
        <f t="shared" si="4"/>
        <v>6925331.25</v>
      </c>
    </row>
    <row r="24" spans="2:22" x14ac:dyDescent="0.2">
      <c r="B24" s="149">
        <v>50192</v>
      </c>
      <c r="C24" s="150">
        <f>42500*6+45000*6</f>
        <v>525000</v>
      </c>
      <c r="D24" s="150">
        <f>42768.75*6+40537.5*6</f>
        <v>499837.5</v>
      </c>
      <c r="E24" s="150">
        <f t="shared" si="0"/>
        <v>1024837.5</v>
      </c>
      <c r="G24" s="149">
        <v>50192</v>
      </c>
      <c r="H24" s="150">
        <f>39583.33*6+41666.67*6</f>
        <v>487500</v>
      </c>
      <c r="I24" s="150">
        <f>43041.67*6+41062.5*5+41062.48</f>
        <v>504625</v>
      </c>
      <c r="J24" s="150">
        <f t="shared" si="1"/>
        <v>992125</v>
      </c>
      <c r="L24" s="149">
        <v>50192</v>
      </c>
      <c r="M24" s="150">
        <f>118750*6+125000*6</f>
        <v>1462500</v>
      </c>
      <c r="N24" s="150">
        <f>183708.33*6+177770.83*6+0.04</f>
        <v>2168875</v>
      </c>
      <c r="O24" s="150">
        <f t="shared" si="2"/>
        <v>3631375</v>
      </c>
      <c r="Q24" s="149">
        <v>50192</v>
      </c>
      <c r="R24" s="150">
        <f>24166.67*6+25833.33*6</f>
        <v>300000</v>
      </c>
      <c r="S24" s="150">
        <f>82822.92*6+81372.92*6-0.04</f>
        <v>985175</v>
      </c>
      <c r="T24" s="150">
        <f t="shared" si="3"/>
        <v>1285175</v>
      </c>
      <c r="V24" s="150">
        <f t="shared" si="4"/>
        <v>6933512.5</v>
      </c>
    </row>
    <row r="25" spans="2:22" x14ac:dyDescent="0.2">
      <c r="B25" s="149">
        <v>50557</v>
      </c>
      <c r="C25" s="150">
        <f>45000*6+47500*6</f>
        <v>555000</v>
      </c>
      <c r="D25" s="150">
        <f>40537.5*6+38175*6</f>
        <v>472275</v>
      </c>
      <c r="E25" s="150">
        <f t="shared" si="0"/>
        <v>1027275</v>
      </c>
      <c r="G25" s="149">
        <v>50557</v>
      </c>
      <c r="H25" s="150">
        <f>41666.67*6+43750*5+43749.98</f>
        <v>512500</v>
      </c>
      <c r="I25" s="150">
        <f>41062.5*6+38979.17*5+38979.15</f>
        <v>480250</v>
      </c>
      <c r="J25" s="150">
        <f t="shared" si="1"/>
        <v>992750</v>
      </c>
      <c r="L25" s="149">
        <v>50557</v>
      </c>
      <c r="M25" s="150">
        <f>125000*6+131250*6</f>
        <v>1537500</v>
      </c>
      <c r="N25" s="150">
        <f>177770.83*6+171520.83*6+0.04</f>
        <v>2095750</v>
      </c>
      <c r="O25" s="150">
        <f t="shared" si="2"/>
        <v>3633250</v>
      </c>
      <c r="Q25" s="149">
        <v>50557</v>
      </c>
      <c r="R25" s="150">
        <f>25833.33*6+27500*6+0.02</f>
        <v>320000</v>
      </c>
      <c r="S25" s="150">
        <f>81372.92*6+79822.92*6-0.04</f>
        <v>967175</v>
      </c>
      <c r="T25" s="150">
        <f t="shared" si="3"/>
        <v>1287175</v>
      </c>
      <c r="V25" s="150">
        <f t="shared" si="4"/>
        <v>6940450</v>
      </c>
    </row>
    <row r="26" spans="2:22" x14ac:dyDescent="0.2">
      <c r="B26" s="149">
        <v>50922</v>
      </c>
      <c r="C26" s="150">
        <f>47500*6+50000*6</f>
        <v>585000</v>
      </c>
      <c r="D26" s="150">
        <f>38175*6+35681.25*6</f>
        <v>443137.5</v>
      </c>
      <c r="E26" s="150">
        <f t="shared" si="0"/>
        <v>1028137.5</v>
      </c>
      <c r="G26" s="149">
        <v>50922</v>
      </c>
      <c r="H26" s="150">
        <f>43750*6+45833.33*5+45833.35</f>
        <v>537500</v>
      </c>
      <c r="I26" s="150">
        <f>38979.17*6+36791.67*5+36791.63</f>
        <v>454625</v>
      </c>
      <c r="J26" s="150">
        <f t="shared" si="1"/>
        <v>992125</v>
      </c>
      <c r="L26" s="149">
        <v>50922</v>
      </c>
      <c r="M26" s="150">
        <f>131250*6+137916.67*6-0.02</f>
        <v>1615000</v>
      </c>
      <c r="N26" s="150">
        <f>171520.83*6+164958.33*6+0.04</f>
        <v>2018875</v>
      </c>
      <c r="O26" s="150">
        <f t="shared" si="2"/>
        <v>3633875</v>
      </c>
      <c r="Q26" s="149">
        <v>50922</v>
      </c>
      <c r="R26" s="150">
        <f>27500*6+29166.67*6-0.02</f>
        <v>340000</v>
      </c>
      <c r="S26" s="150">
        <f>79822.92*6+78172.92*6-0.04</f>
        <v>947975</v>
      </c>
      <c r="T26" s="150">
        <f t="shared" si="3"/>
        <v>1287975</v>
      </c>
      <c r="V26" s="150">
        <f t="shared" si="4"/>
        <v>6942112.5</v>
      </c>
    </row>
    <row r="27" spans="2:22" x14ac:dyDescent="0.2">
      <c r="B27" s="149">
        <v>51288</v>
      </c>
      <c r="C27" s="150">
        <f>50000*6+52916.67*5+52916.65</f>
        <v>617500</v>
      </c>
      <c r="D27" s="150">
        <f>35681.25*6+32931.25*6</f>
        <v>411675</v>
      </c>
      <c r="E27" s="150">
        <f t="shared" si="0"/>
        <v>1029175</v>
      </c>
      <c r="G27" s="149">
        <v>51288</v>
      </c>
      <c r="H27" s="150">
        <f>45833.33*6+48333.33*5+48333.37</f>
        <v>565000</v>
      </c>
      <c r="I27" s="150">
        <f>36791.67*6+34500*5+34499.98</f>
        <v>427750</v>
      </c>
      <c r="J27" s="150">
        <f t="shared" si="1"/>
        <v>992750</v>
      </c>
      <c r="L27" s="149">
        <v>51288</v>
      </c>
      <c r="M27" s="150">
        <f>137916.67*6+145000*6-0.02</f>
        <v>1697500</v>
      </c>
      <c r="N27" s="150">
        <f>164958.33*6+158062.5*6+0.02</f>
        <v>1938125</v>
      </c>
      <c r="O27" s="150">
        <f t="shared" si="2"/>
        <v>3635625</v>
      </c>
      <c r="Q27" s="149">
        <v>51288</v>
      </c>
      <c r="R27" s="150">
        <f>29166.67*6+30833.33*6</f>
        <v>360000</v>
      </c>
      <c r="S27" s="150">
        <f>78172.92*6+76422.92*6-0.04</f>
        <v>927575</v>
      </c>
      <c r="T27" s="150">
        <f t="shared" si="3"/>
        <v>1287575</v>
      </c>
      <c r="V27" s="150">
        <f t="shared" si="4"/>
        <v>6945125</v>
      </c>
    </row>
    <row r="28" spans="2:22" x14ac:dyDescent="0.2">
      <c r="B28" s="149">
        <v>51653</v>
      </c>
      <c r="C28" s="150">
        <f>52916.67*6+55833.33*6</f>
        <v>652500</v>
      </c>
      <c r="D28" s="150">
        <f>32931.25*6+30020.83*5+30020.85</f>
        <v>377712.5</v>
      </c>
      <c r="E28" s="150">
        <f t="shared" si="0"/>
        <v>1030212.5</v>
      </c>
      <c r="G28" s="149">
        <v>51653</v>
      </c>
      <c r="H28" s="150">
        <f>48333.33*6+50833.33*5+50833.37</f>
        <v>595000</v>
      </c>
      <c r="I28" s="150">
        <f>34500*6+32083.33*5+32083.35</f>
        <v>399500</v>
      </c>
      <c r="J28" s="150">
        <f t="shared" si="1"/>
        <v>994500</v>
      </c>
      <c r="L28" s="149">
        <v>51653</v>
      </c>
      <c r="M28" s="150">
        <f>145000*6+152500*6</f>
        <v>1785000</v>
      </c>
      <c r="N28" s="150">
        <f>158062.5*6+150812.5*6</f>
        <v>1853250</v>
      </c>
      <c r="O28" s="150">
        <f t="shared" si="2"/>
        <v>3638250</v>
      </c>
      <c r="Q28" s="149">
        <v>51653</v>
      </c>
      <c r="R28" s="150">
        <f>30833.33*6+32916.67*6</f>
        <v>382500</v>
      </c>
      <c r="S28" s="150">
        <f>76422.92*6+74572.92*6-0.04</f>
        <v>905975</v>
      </c>
      <c r="T28" s="150">
        <f t="shared" si="3"/>
        <v>1288475</v>
      </c>
      <c r="V28" s="150">
        <f t="shared" si="4"/>
        <v>6951437.5</v>
      </c>
    </row>
    <row r="29" spans="2:22" x14ac:dyDescent="0.2">
      <c r="B29" s="149">
        <v>52018</v>
      </c>
      <c r="C29" s="150">
        <f>55833.33*6+59166.67*6</f>
        <v>690000</v>
      </c>
      <c r="D29" s="150">
        <f>30020.83*6+26950*5+26950.02</f>
        <v>341825</v>
      </c>
      <c r="E29" s="150">
        <f t="shared" si="0"/>
        <v>1031825</v>
      </c>
      <c r="G29" s="149">
        <v>52018</v>
      </c>
      <c r="H29" s="150">
        <f>50833.33*6+53333.33*5+53333.37</f>
        <v>625000</v>
      </c>
      <c r="I29" s="150">
        <f>32083.33*6+29541.67*6</f>
        <v>369750</v>
      </c>
      <c r="J29" s="150">
        <f t="shared" si="1"/>
        <v>994750</v>
      </c>
      <c r="L29" s="149">
        <v>52018</v>
      </c>
      <c r="M29" s="150">
        <f>152500*6+160416.67*6-0.02</f>
        <v>1877500</v>
      </c>
      <c r="N29" s="150">
        <f>150812.5*6+143187.5*6</f>
        <v>1764000</v>
      </c>
      <c r="O29" s="150">
        <f t="shared" si="2"/>
        <v>3641500</v>
      </c>
      <c r="Q29" s="149">
        <v>52018</v>
      </c>
      <c r="R29" s="150">
        <f>32916.67*6+35000*6-0.02</f>
        <v>407500</v>
      </c>
      <c r="S29" s="150">
        <f>74572.92*6+72597.92*6-0.04</f>
        <v>883025</v>
      </c>
      <c r="T29" s="150">
        <f>SUM(R29:S29)</f>
        <v>1290525</v>
      </c>
      <c r="V29" s="150">
        <f t="shared" si="4"/>
        <v>6958600</v>
      </c>
    </row>
    <row r="30" spans="2:22" x14ac:dyDescent="0.2">
      <c r="B30" s="149">
        <v>52383</v>
      </c>
      <c r="C30" s="150">
        <f>59166.67*6+62500*5+62499.98</f>
        <v>730000</v>
      </c>
      <c r="D30" s="150">
        <f>26950*6+23695.83*5+23695.85</f>
        <v>303875</v>
      </c>
      <c r="E30" s="150">
        <f t="shared" si="0"/>
        <v>1033875</v>
      </c>
      <c r="G30" s="149">
        <v>52383</v>
      </c>
      <c r="H30" s="150">
        <f>53333.33*6+55833.33*5+55833.37</f>
        <v>655000</v>
      </c>
      <c r="I30" s="150">
        <f>29541.67*6+26875*5+26874.98</f>
        <v>338500</v>
      </c>
      <c r="J30" s="150">
        <f t="shared" si="1"/>
        <v>993500</v>
      </c>
      <c r="L30" s="149">
        <v>52383</v>
      </c>
      <c r="M30" s="150">
        <f>160416.67*6+168750*6-0.02</f>
        <v>1975000</v>
      </c>
      <c r="N30" s="150">
        <f>143187.5*6+135166.67*6-0.02</f>
        <v>1670125</v>
      </c>
      <c r="O30" s="150">
        <f t="shared" si="2"/>
        <v>3645125</v>
      </c>
      <c r="Q30" s="149">
        <v>52383</v>
      </c>
      <c r="R30" s="150">
        <f>35000*6+37083.33*6+0.02</f>
        <v>432500</v>
      </c>
      <c r="S30" s="150">
        <f>72597.92*6+70497.92*6-0.04</f>
        <v>858575</v>
      </c>
      <c r="T30" s="150">
        <f t="shared" si="3"/>
        <v>1291075</v>
      </c>
      <c r="V30" s="150">
        <f t="shared" si="4"/>
        <v>6963575</v>
      </c>
    </row>
    <row r="31" spans="2:22" x14ac:dyDescent="0.2">
      <c r="B31" s="149">
        <v>52749</v>
      </c>
      <c r="C31" s="150">
        <f>62500*6+65833.33*5+65833.35</f>
        <v>770000</v>
      </c>
      <c r="D31" s="150">
        <f>23695.83*6+20258.33*5+20258.37</f>
        <v>263725</v>
      </c>
      <c r="E31" s="150">
        <f t="shared" si="0"/>
        <v>1033725</v>
      </c>
      <c r="G31" s="149">
        <v>52749</v>
      </c>
      <c r="H31" s="150">
        <f>55833.33*6+58750*5+58750.02</f>
        <v>687500</v>
      </c>
      <c r="I31" s="150">
        <f>26875*6+24083.33*5+24083.35</f>
        <v>305750</v>
      </c>
      <c r="J31" s="150">
        <f t="shared" si="1"/>
        <v>993250</v>
      </c>
      <c r="L31" s="149">
        <v>52749</v>
      </c>
      <c r="M31" s="150">
        <f>168750*6+177083.33*6+0.02</f>
        <v>2075000</v>
      </c>
      <c r="N31" s="150">
        <f>135166.67*6+126729.17*6-0.04</f>
        <v>1571375</v>
      </c>
      <c r="O31" s="150">
        <f t="shared" si="2"/>
        <v>3646375</v>
      </c>
      <c r="Q31" s="149">
        <v>52749</v>
      </c>
      <c r="R31" s="150">
        <f>37083.33*6+39166.67*6</f>
        <v>457500</v>
      </c>
      <c r="S31" s="150">
        <f>70497.92*6+68272.92*6-0.04</f>
        <v>832625</v>
      </c>
      <c r="T31" s="150">
        <f t="shared" si="3"/>
        <v>1290125</v>
      </c>
      <c r="V31" s="150">
        <f t="shared" si="4"/>
        <v>6963475</v>
      </c>
    </row>
    <row r="32" spans="2:22" x14ac:dyDescent="0.2">
      <c r="B32" s="149">
        <v>53114</v>
      </c>
      <c r="C32" s="150">
        <f>65833.33*6+69583.33*5+69583.37</f>
        <v>812500</v>
      </c>
      <c r="D32" s="150">
        <f>20258.33*6+16637.5*5+16637.52</f>
        <v>221375</v>
      </c>
      <c r="E32" s="150">
        <f t="shared" si="0"/>
        <v>1033875</v>
      </c>
      <c r="G32" s="149">
        <v>53114</v>
      </c>
      <c r="H32" s="150">
        <f>58750*6+62083.33*5+62083.35</f>
        <v>725000</v>
      </c>
      <c r="I32" s="150">
        <f>24083.33*6+21145.83*5+21145.87</f>
        <v>271375</v>
      </c>
      <c r="J32" s="150">
        <f t="shared" si="1"/>
        <v>996375</v>
      </c>
      <c r="L32" s="149">
        <v>53114</v>
      </c>
      <c r="M32" s="150">
        <f>177083.33*6+186250*6+0.02</f>
        <v>2180000</v>
      </c>
      <c r="N32" s="150">
        <f>126729.17*6+117875*6-0.02</f>
        <v>1467625</v>
      </c>
      <c r="O32" s="150">
        <f t="shared" si="2"/>
        <v>3647625</v>
      </c>
      <c r="Q32" s="149">
        <v>53114</v>
      </c>
      <c r="R32" s="150">
        <f>39166.67*6+41666.67*6-0.04</f>
        <v>485000</v>
      </c>
      <c r="S32" s="150">
        <f>68272.92*6+65922.92*6-0.04</f>
        <v>805175</v>
      </c>
      <c r="T32" s="150">
        <f t="shared" si="3"/>
        <v>1290175</v>
      </c>
      <c r="V32" s="150">
        <f t="shared" si="4"/>
        <v>6968050</v>
      </c>
    </row>
    <row r="33" spans="2:22" x14ac:dyDescent="0.2">
      <c r="B33" s="149">
        <v>53479</v>
      </c>
      <c r="C33" s="150">
        <f>69583.33*6+73333.33*5+73333.37</f>
        <v>857500</v>
      </c>
      <c r="D33" s="150">
        <f>16637.5*6+12810.42*5+12810.4</f>
        <v>176687.5</v>
      </c>
      <c r="E33" s="150">
        <f t="shared" si="0"/>
        <v>1034187.5</v>
      </c>
      <c r="G33" s="149">
        <v>53479</v>
      </c>
      <c r="H33" s="150">
        <f>62083.33*6+65000*5+65000.02</f>
        <v>762500</v>
      </c>
      <c r="I33" s="150">
        <f>21145.83*6+18041.67*6</f>
        <v>235125</v>
      </c>
      <c r="J33" s="150">
        <f t="shared" si="1"/>
        <v>997625</v>
      </c>
      <c r="L33" s="149">
        <v>53479</v>
      </c>
      <c r="M33" s="150">
        <f>186250*6+195833.33*6+0.02</f>
        <v>2292500</v>
      </c>
      <c r="N33" s="150">
        <f>117875*6+108562.5*6</f>
        <v>1358625</v>
      </c>
      <c r="O33" s="150">
        <f t="shared" si="2"/>
        <v>3651125</v>
      </c>
      <c r="Q33" s="149">
        <v>53479</v>
      </c>
      <c r="R33" s="150">
        <f>41666.67*6+44166.67*6-0.04</f>
        <v>515000.00000000006</v>
      </c>
      <c r="S33" s="150">
        <f>65922.92*6+63422.92*6-0.04</f>
        <v>776075</v>
      </c>
      <c r="T33" s="150">
        <f t="shared" si="3"/>
        <v>1291075</v>
      </c>
      <c r="V33" s="150">
        <f t="shared" si="4"/>
        <v>6974012.5</v>
      </c>
    </row>
    <row r="34" spans="2:22" x14ac:dyDescent="0.2">
      <c r="B34" s="149">
        <v>53844</v>
      </c>
      <c r="C34" s="150">
        <f>73333.33*6+77500*5+77500.02</f>
        <v>905000</v>
      </c>
      <c r="D34" s="150">
        <f>12810.42*6+8777.08*6</f>
        <v>129525</v>
      </c>
      <c r="E34" s="150">
        <f t="shared" si="0"/>
        <v>1034525</v>
      </c>
      <c r="G34" s="149">
        <v>53844</v>
      </c>
      <c r="H34" s="150">
        <f>65000*6+68333.33*5+68333.35</f>
        <v>800000</v>
      </c>
      <c r="I34" s="150">
        <f>18041.67*6+14791.67*5+14791.632</f>
        <v>197000.00200000001</v>
      </c>
      <c r="J34" s="150">
        <f t="shared" si="1"/>
        <v>997000.00199999998</v>
      </c>
      <c r="L34" s="149">
        <v>53844</v>
      </c>
      <c r="M34" s="150">
        <f>195833.33*6+205833.33*6+0.04</f>
        <v>2410000</v>
      </c>
      <c r="N34" s="150">
        <f>108562.5*6+98770.83*6+0.02</f>
        <v>1244000</v>
      </c>
      <c r="O34" s="150">
        <f t="shared" si="2"/>
        <v>3654000</v>
      </c>
      <c r="Q34" s="149">
        <v>53844</v>
      </c>
      <c r="R34" s="150">
        <f>44166.67*6+47083.33*6</f>
        <v>547500</v>
      </c>
      <c r="S34" s="150">
        <f>63422.92*6+60772.92*6-0.04</f>
        <v>745175</v>
      </c>
      <c r="T34" s="150">
        <f t="shared" si="3"/>
        <v>1292675</v>
      </c>
      <c r="V34" s="150">
        <f t="shared" si="4"/>
        <v>6978200.0020000003</v>
      </c>
    </row>
    <row r="35" spans="2:22" x14ac:dyDescent="0.2">
      <c r="B35" s="149">
        <v>54210</v>
      </c>
      <c r="C35" s="150">
        <f>77500*6+82083.33*5+82083.35</f>
        <v>957500</v>
      </c>
      <c r="D35" s="150">
        <f>8777.08*6+4514.58*5+4514.62</f>
        <v>79750</v>
      </c>
      <c r="E35" s="150">
        <f t="shared" si="0"/>
        <v>1037250</v>
      </c>
      <c r="G35" s="149">
        <v>54210</v>
      </c>
      <c r="H35" s="150">
        <f>68333.33*6+72083.33*5+72083.37</f>
        <v>842500</v>
      </c>
      <c r="I35" s="150">
        <f>14791.67*6+11375*5+11374.98</f>
        <v>157000.00000000003</v>
      </c>
      <c r="J35" s="150">
        <f t="shared" si="1"/>
        <v>999500</v>
      </c>
      <c r="L35" s="149">
        <v>54210</v>
      </c>
      <c r="M35" s="150">
        <f>205833.33*6+216666.67*6</f>
        <v>2535000</v>
      </c>
      <c r="N35" s="150">
        <f>98770.83*6+88479.17*6</f>
        <v>1123500</v>
      </c>
      <c r="O35" s="150">
        <f t="shared" si="2"/>
        <v>3658500</v>
      </c>
      <c r="Q35" s="149">
        <v>54210</v>
      </c>
      <c r="R35" s="150">
        <f>47083.33*6+50000*6+0.02</f>
        <v>582500</v>
      </c>
      <c r="S35" s="150">
        <f>60772.92*6+57947.92*6-0.04</f>
        <v>712325</v>
      </c>
      <c r="T35" s="150">
        <f t="shared" si="3"/>
        <v>1294825</v>
      </c>
      <c r="V35" s="150">
        <f t="shared" si="4"/>
        <v>6990075</v>
      </c>
    </row>
    <row r="36" spans="2:22" x14ac:dyDescent="0.2">
      <c r="B36" s="149">
        <v>54575</v>
      </c>
      <c r="C36" s="150">
        <f>82083.33*5+82083.35</f>
        <v>492500</v>
      </c>
      <c r="D36" s="150">
        <f>4514.58*5+4514.6</f>
        <v>27087.5</v>
      </c>
      <c r="E36" s="150">
        <f t="shared" si="0"/>
        <v>519587.5</v>
      </c>
      <c r="G36" s="149">
        <v>54575</v>
      </c>
      <c r="H36" s="150">
        <f>72083.33*6+75833.33*5+75833.37</f>
        <v>887500</v>
      </c>
      <c r="I36" s="150">
        <f>11375*6+7770.83*5+7770.85</f>
        <v>114875</v>
      </c>
      <c r="J36" s="150">
        <f t="shared" si="1"/>
        <v>1002375</v>
      </c>
      <c r="L36" s="149">
        <v>54575</v>
      </c>
      <c r="M36" s="150">
        <f>216666.67*6+227500*6-0.02</f>
        <v>2665000</v>
      </c>
      <c r="N36" s="150">
        <f>88479.17*6+77645.83*6</f>
        <v>996750</v>
      </c>
      <c r="O36" s="150">
        <f t="shared" si="2"/>
        <v>3661750</v>
      </c>
      <c r="Q36" s="149">
        <v>54575</v>
      </c>
      <c r="R36" s="150">
        <f>50000*6+52916.67*6+0.02-0.04</f>
        <v>617500</v>
      </c>
      <c r="S36" s="150">
        <f>57947.92*6+54947.92*6-0.04</f>
        <v>677375</v>
      </c>
      <c r="T36" s="150">
        <f t="shared" si="3"/>
        <v>1294875</v>
      </c>
      <c r="V36" s="150">
        <f t="shared" si="4"/>
        <v>6478587.5</v>
      </c>
    </row>
    <row r="37" spans="2:22" x14ac:dyDescent="0.2">
      <c r="B37" s="149">
        <v>54940</v>
      </c>
      <c r="C37" s="150"/>
      <c r="D37" s="150"/>
      <c r="E37" s="150"/>
      <c r="G37" s="149">
        <v>54940</v>
      </c>
      <c r="H37" s="150">
        <f>75833.33*6+79583.33*5+79583.37</f>
        <v>932500</v>
      </c>
      <c r="I37" s="150">
        <f>7770.83*6+3979.17*6</f>
        <v>70500</v>
      </c>
      <c r="J37" s="150">
        <f t="shared" si="1"/>
        <v>1003000</v>
      </c>
      <c r="L37" s="149">
        <v>54940</v>
      </c>
      <c r="M37" s="150">
        <f>227500*6+239166.67*6-0.02</f>
        <v>2800000</v>
      </c>
      <c r="N37" s="150">
        <f>77645.83*6+66270.83*6+0.04</f>
        <v>863500</v>
      </c>
      <c r="O37" s="150">
        <f t="shared" si="2"/>
        <v>3663500</v>
      </c>
      <c r="Q37" s="149">
        <v>54940</v>
      </c>
      <c r="R37" s="150">
        <f>52916.67*6+56250*6-0.02</f>
        <v>655000</v>
      </c>
      <c r="S37" s="150">
        <f>54947.92*6+51772.92*6-0.04</f>
        <v>640325</v>
      </c>
      <c r="T37" s="150">
        <f t="shared" si="3"/>
        <v>1295325</v>
      </c>
      <c r="V37" s="150">
        <f t="shared" si="4"/>
        <v>5961825</v>
      </c>
    </row>
    <row r="38" spans="2:22" x14ac:dyDescent="0.2">
      <c r="B38" s="149">
        <v>55305</v>
      </c>
      <c r="C38" s="150"/>
      <c r="D38" s="150"/>
      <c r="E38" s="150"/>
      <c r="G38" s="149">
        <v>55305</v>
      </c>
      <c r="H38" s="150">
        <f>79583.33*5+79583.35</f>
        <v>477500</v>
      </c>
      <c r="I38" s="150">
        <f>3979.17*5+3979.15</f>
        <v>23875</v>
      </c>
      <c r="J38" s="150">
        <f t="shared" si="1"/>
        <v>501375</v>
      </c>
      <c r="L38" s="149">
        <v>55305</v>
      </c>
      <c r="M38" s="150">
        <f>239166.67*6+251666.67*6-0.04</f>
        <v>2945000</v>
      </c>
      <c r="N38" s="150">
        <f>66270.83*6+54312.5*6+0.02</f>
        <v>723500</v>
      </c>
      <c r="O38" s="150">
        <f t="shared" si="2"/>
        <v>3668500</v>
      </c>
      <c r="Q38" s="149">
        <v>55305</v>
      </c>
      <c r="R38" s="150">
        <f>56250*6+60000*6</f>
        <v>697500</v>
      </c>
      <c r="S38" s="150">
        <f>51772.92*6+48397.92*6-0.04</f>
        <v>601025</v>
      </c>
      <c r="T38" s="150">
        <f t="shared" si="3"/>
        <v>1298525</v>
      </c>
      <c r="V38" s="150">
        <f t="shared" si="4"/>
        <v>5468400</v>
      </c>
    </row>
    <row r="39" spans="2:22" x14ac:dyDescent="0.2">
      <c r="B39" s="149">
        <v>55671</v>
      </c>
      <c r="C39" s="150"/>
      <c r="D39" s="150"/>
      <c r="E39" s="150"/>
      <c r="G39" s="149">
        <v>55671</v>
      </c>
      <c r="H39" s="150">
        <v>0</v>
      </c>
      <c r="I39" s="150">
        <v>0</v>
      </c>
      <c r="J39" s="150">
        <f t="shared" si="1"/>
        <v>0</v>
      </c>
      <c r="L39" s="149">
        <v>55671</v>
      </c>
      <c r="M39" s="150">
        <f>251666.67*6+264583.33*6</f>
        <v>3097500</v>
      </c>
      <c r="N39" s="150">
        <f>54312.5*6+41729.17*6-0.02</f>
        <v>576250</v>
      </c>
      <c r="O39" s="150">
        <f t="shared" si="2"/>
        <v>3673750</v>
      </c>
      <c r="Q39" s="149">
        <v>55671</v>
      </c>
      <c r="R39" s="150">
        <f>60000*6+63333.33*6+0.02</f>
        <v>740000</v>
      </c>
      <c r="S39" s="150">
        <f>48397.92*6+44797.92*6-0.04</f>
        <v>559175</v>
      </c>
      <c r="T39" s="150">
        <f t="shared" si="3"/>
        <v>1299175</v>
      </c>
      <c r="V39" s="150">
        <f t="shared" si="4"/>
        <v>4972925</v>
      </c>
    </row>
    <row r="40" spans="2:22" x14ac:dyDescent="0.2">
      <c r="B40" s="149">
        <v>56036</v>
      </c>
      <c r="C40" s="150"/>
      <c r="D40" s="150"/>
      <c r="E40" s="150"/>
      <c r="G40" s="149">
        <v>56036</v>
      </c>
      <c r="H40" s="150">
        <v>0</v>
      </c>
      <c r="I40" s="150">
        <v>0</v>
      </c>
      <c r="J40" s="150">
        <f t="shared" si="1"/>
        <v>0</v>
      </c>
      <c r="L40" s="149">
        <v>56036</v>
      </c>
      <c r="M40" s="150">
        <f>264583.33*6+277916.67*6</f>
        <v>3255000</v>
      </c>
      <c r="N40" s="150">
        <f>41729.17*6+28500*6-0.02</f>
        <v>421375</v>
      </c>
      <c r="O40" s="150">
        <f t="shared" si="2"/>
        <v>3676375</v>
      </c>
      <c r="Q40" s="149">
        <v>56036</v>
      </c>
      <c r="R40" s="150">
        <f>63333.33*6+67500*6+0.02</f>
        <v>785000</v>
      </c>
      <c r="S40" s="150">
        <f>44797.92*6+40997.92*6-0.04</f>
        <v>514775.00000000006</v>
      </c>
      <c r="T40" s="150">
        <f t="shared" si="3"/>
        <v>1299775</v>
      </c>
      <c r="V40" s="150">
        <f t="shared" si="4"/>
        <v>4976150</v>
      </c>
    </row>
    <row r="41" spans="2:22" x14ac:dyDescent="0.2">
      <c r="B41" s="149">
        <v>56401</v>
      </c>
      <c r="C41" s="150"/>
      <c r="D41" s="150"/>
      <c r="E41" s="150"/>
      <c r="G41" s="149">
        <v>56401</v>
      </c>
      <c r="H41" s="150">
        <v>0</v>
      </c>
      <c r="I41" s="150">
        <v>0</v>
      </c>
      <c r="J41" s="150">
        <f t="shared" si="1"/>
        <v>0</v>
      </c>
      <c r="L41" s="149">
        <v>56401</v>
      </c>
      <c r="M41" s="150">
        <f>277916.67*6+292083.33*6</f>
        <v>3420000</v>
      </c>
      <c r="N41" s="150">
        <f>28500*6+14604.17*6-0.02</f>
        <v>258625.00000000003</v>
      </c>
      <c r="O41" s="150">
        <f t="shared" si="2"/>
        <v>3678625</v>
      </c>
      <c r="Q41" s="149">
        <v>56401</v>
      </c>
      <c r="R41" s="150">
        <f>67500*6+71666.67*6-0.02</f>
        <v>835000</v>
      </c>
      <c r="S41" s="150">
        <f>40997.92*6+36947.92*6-0.04</f>
        <v>467675</v>
      </c>
      <c r="T41" s="150">
        <f t="shared" si="3"/>
        <v>1302675</v>
      </c>
      <c r="V41" s="150">
        <f t="shared" si="4"/>
        <v>4981300</v>
      </c>
    </row>
    <row r="42" spans="2:22" x14ac:dyDescent="0.2">
      <c r="B42" s="149">
        <v>56766</v>
      </c>
      <c r="C42" s="150"/>
      <c r="D42" s="150"/>
      <c r="E42" s="150"/>
      <c r="G42" s="149">
        <v>56766</v>
      </c>
      <c r="H42" s="150">
        <v>0</v>
      </c>
      <c r="I42" s="150">
        <v>0</v>
      </c>
      <c r="J42" s="150">
        <f t="shared" si="1"/>
        <v>0</v>
      </c>
      <c r="L42" s="149">
        <v>56766</v>
      </c>
      <c r="M42" s="150">
        <f>292083.33*6+0.02</f>
        <v>1752500</v>
      </c>
      <c r="N42" s="150">
        <f>14604.17*6-0.02</f>
        <v>87625</v>
      </c>
      <c r="O42" s="150">
        <f t="shared" si="2"/>
        <v>1840125</v>
      </c>
      <c r="Q42" s="149">
        <v>56766</v>
      </c>
      <c r="R42" s="150">
        <f>71666.67*6+76250*6-0.02</f>
        <v>887500</v>
      </c>
      <c r="S42" s="150">
        <f>36947.92*6+32647.92*6-0.04</f>
        <v>417575</v>
      </c>
      <c r="T42" s="150">
        <f t="shared" si="3"/>
        <v>1305075</v>
      </c>
      <c r="V42" s="150">
        <f t="shared" si="4"/>
        <v>3145200</v>
      </c>
    </row>
    <row r="43" spans="2:22" x14ac:dyDescent="0.2">
      <c r="B43" s="149">
        <v>57132</v>
      </c>
      <c r="C43" s="150"/>
      <c r="D43" s="150"/>
      <c r="E43" s="150"/>
      <c r="G43" s="149">
        <v>57132</v>
      </c>
      <c r="H43" s="150">
        <v>0</v>
      </c>
      <c r="I43" s="150">
        <v>0</v>
      </c>
      <c r="J43" s="150">
        <f t="shared" si="1"/>
        <v>0</v>
      </c>
      <c r="L43" s="149">
        <v>57132</v>
      </c>
      <c r="M43" s="150">
        <v>0</v>
      </c>
      <c r="N43" s="150">
        <v>0</v>
      </c>
      <c r="O43" s="150">
        <f t="shared" ref="O43" si="5">SUM(M43:N43)</f>
        <v>0</v>
      </c>
      <c r="Q43" s="149">
        <v>57132</v>
      </c>
      <c r="R43" s="150">
        <f>76250*6+80833.33*6+0.02</f>
        <v>942500</v>
      </c>
      <c r="S43" s="150">
        <f>32647.92*6+28072.92*6-0.04</f>
        <v>364325</v>
      </c>
      <c r="T43" s="150">
        <f t="shared" ref="T43" si="6">SUM(R43:S43)</f>
        <v>1306825</v>
      </c>
      <c r="V43" s="150">
        <f t="shared" si="4"/>
        <v>1306825</v>
      </c>
    </row>
    <row r="44" spans="2:22" x14ac:dyDescent="0.2">
      <c r="B44" s="149">
        <v>57497</v>
      </c>
      <c r="C44" s="150"/>
      <c r="D44" s="150"/>
      <c r="E44" s="150"/>
      <c r="G44" s="149">
        <v>57497</v>
      </c>
      <c r="H44" s="150">
        <v>0</v>
      </c>
      <c r="I44" s="150">
        <v>0</v>
      </c>
      <c r="J44" s="150">
        <f t="shared" si="1"/>
        <v>0</v>
      </c>
      <c r="L44" s="149">
        <v>57497</v>
      </c>
      <c r="M44" s="150">
        <v>0</v>
      </c>
      <c r="N44" s="150">
        <v>0</v>
      </c>
      <c r="O44" s="150">
        <f t="shared" ref="O44" si="7">SUM(M44:N44)</f>
        <v>0</v>
      </c>
      <c r="Q44" s="149">
        <v>57497</v>
      </c>
      <c r="R44" s="150">
        <f>80833.33*6+85833.33*6+0.04</f>
        <v>1000000</v>
      </c>
      <c r="S44" s="150">
        <f>28072.92*6+23121.88*6-0.05</f>
        <v>307168.75</v>
      </c>
      <c r="T44" s="150">
        <f t="shared" ref="T44" si="8">SUM(R44:S44)</f>
        <v>1307168.75</v>
      </c>
      <c r="V44" s="150">
        <f t="shared" si="4"/>
        <v>1307168.75</v>
      </c>
    </row>
    <row r="45" spans="2:22" x14ac:dyDescent="0.2">
      <c r="B45" s="149">
        <v>57862</v>
      </c>
      <c r="C45" s="150"/>
      <c r="D45" s="150"/>
      <c r="E45" s="150"/>
      <c r="G45" s="149">
        <v>57862</v>
      </c>
      <c r="H45" s="150">
        <v>0</v>
      </c>
      <c r="I45" s="150">
        <v>0</v>
      </c>
      <c r="J45" s="150">
        <f t="shared" si="1"/>
        <v>0</v>
      </c>
      <c r="L45" s="149">
        <v>57862</v>
      </c>
      <c r="M45" s="150">
        <v>0</v>
      </c>
      <c r="N45" s="150">
        <v>0</v>
      </c>
      <c r="O45" s="150">
        <f t="shared" ref="O45" si="9">SUM(M45:N45)</f>
        <v>0</v>
      </c>
      <c r="Q45" s="149">
        <v>57862</v>
      </c>
      <c r="R45" s="150">
        <f>85833.33*6+91250*6+0.02</f>
        <v>1062500</v>
      </c>
      <c r="S45" s="150">
        <f>23121.88*6+17864.58*6-0.01</f>
        <v>245918.75</v>
      </c>
      <c r="T45" s="150">
        <f>SUM(R45:S45)</f>
        <v>1308418.75</v>
      </c>
      <c r="V45" s="150">
        <f t="shared" si="4"/>
        <v>1308418.75</v>
      </c>
    </row>
    <row r="46" spans="2:22" x14ac:dyDescent="0.2">
      <c r="B46" s="149">
        <v>58227</v>
      </c>
      <c r="C46" s="150"/>
      <c r="D46" s="150"/>
      <c r="E46" s="150"/>
      <c r="G46" s="149">
        <v>58227</v>
      </c>
      <c r="H46" s="150">
        <v>0</v>
      </c>
      <c r="I46" s="150">
        <v>0</v>
      </c>
      <c r="J46" s="150">
        <f t="shared" si="1"/>
        <v>0</v>
      </c>
      <c r="L46" s="149">
        <v>58227</v>
      </c>
      <c r="M46" s="150">
        <v>0</v>
      </c>
      <c r="N46" s="150">
        <v>0</v>
      </c>
      <c r="O46" s="150">
        <f t="shared" ref="O46" si="10">SUM(M46:N46)</f>
        <v>0</v>
      </c>
      <c r="Q46" s="149">
        <v>58227</v>
      </c>
      <c r="R46" s="150">
        <f>91250*6+97083.33*6+0.02</f>
        <v>1130000</v>
      </c>
      <c r="S46" s="150">
        <f>17864.58*6+12275.52*6+0.03</f>
        <v>180840.63</v>
      </c>
      <c r="T46" s="150">
        <f t="shared" ref="T46" si="11">SUM(R46:S46)</f>
        <v>1310840.6299999999</v>
      </c>
      <c r="V46" s="150">
        <f t="shared" si="4"/>
        <v>1310840.6299999999</v>
      </c>
    </row>
    <row r="47" spans="2:22" x14ac:dyDescent="0.2">
      <c r="B47" s="149">
        <v>58593</v>
      </c>
      <c r="C47" s="150"/>
      <c r="D47" s="150"/>
      <c r="E47" s="150"/>
      <c r="G47" s="149">
        <v>58593</v>
      </c>
      <c r="H47" s="150">
        <v>0</v>
      </c>
      <c r="I47" s="150">
        <v>0</v>
      </c>
      <c r="J47" s="150">
        <f t="shared" si="1"/>
        <v>0</v>
      </c>
      <c r="L47" s="149">
        <v>58593</v>
      </c>
      <c r="M47" s="150">
        <v>0</v>
      </c>
      <c r="N47" s="150">
        <v>0</v>
      </c>
      <c r="O47" s="150">
        <f t="shared" ref="O47" si="12">SUM(M47:N47)</f>
        <v>0</v>
      </c>
      <c r="Q47" s="149">
        <v>58593</v>
      </c>
      <c r="R47" s="150">
        <f>97083.33*6+103333.33*6+0.04</f>
        <v>1202500</v>
      </c>
      <c r="S47" s="150">
        <f>12275.52*6+6329.17*6-0.01</f>
        <v>111628.13</v>
      </c>
      <c r="T47" s="150">
        <f t="shared" ref="T47" si="13">SUM(R47:S47)</f>
        <v>1314128.1299999999</v>
      </c>
      <c r="V47" s="150">
        <f t="shared" si="4"/>
        <v>1314128.1299999999</v>
      </c>
    </row>
    <row r="48" spans="2:22" x14ac:dyDescent="0.2">
      <c r="B48" s="149">
        <v>58958</v>
      </c>
      <c r="C48" s="150"/>
      <c r="D48" s="150"/>
      <c r="E48" s="150"/>
      <c r="G48" s="149">
        <v>58958</v>
      </c>
      <c r="H48" s="150">
        <v>0</v>
      </c>
      <c r="I48" s="150">
        <v>0</v>
      </c>
      <c r="J48" s="150">
        <f t="shared" si="1"/>
        <v>0</v>
      </c>
      <c r="L48" s="149">
        <v>58958</v>
      </c>
      <c r="M48" s="150">
        <v>0</v>
      </c>
      <c r="N48" s="150">
        <v>0</v>
      </c>
      <c r="O48" s="150">
        <f t="shared" ref="O48" si="14">SUM(M48:N48)</f>
        <v>0</v>
      </c>
      <c r="Q48" s="149">
        <v>58958</v>
      </c>
      <c r="R48" s="150">
        <f>103333.33*6+0.02</f>
        <v>620000</v>
      </c>
      <c r="S48" s="150">
        <f>6329.17*6-0.02</f>
        <v>37975.000000000007</v>
      </c>
      <c r="T48" s="150">
        <f t="shared" ref="T48" si="15">SUM(R48:S48)</f>
        <v>657975</v>
      </c>
      <c r="V48" s="150">
        <f t="shared" si="4"/>
        <v>657975</v>
      </c>
    </row>
    <row r="49" spans="1:23" x14ac:dyDescent="0.2">
      <c r="B49" s="149"/>
      <c r="C49" s="150"/>
      <c r="D49" s="150"/>
      <c r="E49" s="150"/>
      <c r="G49" s="149"/>
      <c r="H49" s="150"/>
      <c r="I49" s="150"/>
      <c r="J49" s="150"/>
      <c r="L49" s="149"/>
      <c r="M49" s="150"/>
      <c r="N49" s="150"/>
      <c r="O49" s="150"/>
      <c r="Q49" s="149"/>
      <c r="R49" s="150"/>
      <c r="S49" s="150"/>
      <c r="T49" s="150"/>
      <c r="V49" s="150"/>
    </row>
    <row r="50" spans="1:23" x14ac:dyDescent="0.2">
      <c r="B50" s="149"/>
      <c r="C50" s="149"/>
      <c r="D50" s="149"/>
      <c r="J50" s="150"/>
      <c r="O50" s="150"/>
      <c r="T50" s="150"/>
      <c r="V50" s="150"/>
    </row>
    <row r="51" spans="1:23" ht="15" x14ac:dyDescent="0.25">
      <c r="B51" s="152" t="s">
        <v>233</v>
      </c>
      <c r="C51" s="153">
        <f>SUM(C5:C49)</f>
        <v>14630000</v>
      </c>
      <c r="D51" s="153">
        <f>SUM(D5:D49)</f>
        <v>15635266.84</v>
      </c>
      <c r="E51" s="153">
        <f>SUM(E5:E49)</f>
        <v>30265266.84</v>
      </c>
      <c r="G51" s="152" t="s">
        <v>233</v>
      </c>
      <c r="H51" s="153">
        <f>SUM(H6:H49)</f>
        <v>15235000</v>
      </c>
      <c r="I51" s="153">
        <f>SUM(I6:I49)</f>
        <v>14492382.932</v>
      </c>
      <c r="J51" s="153">
        <f>SUM(J6:J49)</f>
        <v>29727382.932</v>
      </c>
      <c r="L51" s="152" t="s">
        <v>233</v>
      </c>
      <c r="M51" s="153">
        <f>SUM(M6:M49)</f>
        <v>55845000</v>
      </c>
      <c r="N51" s="153">
        <f>SUM(N6:N49)</f>
        <v>53940190</v>
      </c>
      <c r="O51" s="153">
        <f>SUM(O6:O49)</f>
        <v>109785190</v>
      </c>
      <c r="Q51" s="152" t="s">
        <v>233</v>
      </c>
      <c r="R51" s="153">
        <f>SUM(R6:R49)</f>
        <v>18440000</v>
      </c>
      <c r="S51" s="153">
        <f>SUM(S6:S49)</f>
        <v>26912233.349999998</v>
      </c>
      <c r="T51" s="153">
        <f>SUM(T6:T49)</f>
        <v>45352233.350000009</v>
      </c>
      <c r="V51" s="150"/>
    </row>
    <row r="52" spans="1:23" x14ac:dyDescent="0.2">
      <c r="B52" s="154"/>
      <c r="C52" s="154"/>
      <c r="D52" s="154"/>
    </row>
    <row r="53" spans="1:23" ht="17.25" x14ac:dyDescent="0.4">
      <c r="B53" s="154"/>
      <c r="C53" s="154"/>
      <c r="D53" s="155" t="s">
        <v>234</v>
      </c>
      <c r="E53" s="156">
        <f>MAX(E5:E49)</f>
        <v>1037250</v>
      </c>
      <c r="I53" s="155" t="s">
        <v>234</v>
      </c>
      <c r="J53" s="156">
        <f>MAX(J5:J49)</f>
        <v>1003000</v>
      </c>
      <c r="N53" s="155" t="s">
        <v>234</v>
      </c>
      <c r="O53" s="156">
        <f>MAX(O5:O49)</f>
        <v>3678625</v>
      </c>
      <c r="S53" s="155" t="s">
        <v>234</v>
      </c>
      <c r="T53" s="156">
        <f>MAX(T5:T49)</f>
        <v>1314128.1299999999</v>
      </c>
      <c r="V53" s="156">
        <f>MAX(V6:V49)</f>
        <v>6990075</v>
      </c>
      <c r="W53" s="221" t="s">
        <v>327</v>
      </c>
    </row>
    <row r="54" spans="1:23" x14ac:dyDescent="0.2">
      <c r="B54" s="154"/>
      <c r="C54" s="154"/>
      <c r="D54" s="154"/>
    </row>
    <row r="55" spans="1:23" ht="15" x14ac:dyDescent="0.25">
      <c r="C55" s="97">
        <f>E55/E56</f>
        <v>1</v>
      </c>
      <c r="D55" t="s">
        <v>235</v>
      </c>
      <c r="E55" s="157">
        <v>12791761.4</v>
      </c>
      <c r="H55" s="97">
        <f>J55/J56</f>
        <v>1</v>
      </c>
      <c r="I55" t="s">
        <v>236</v>
      </c>
      <c r="J55" s="157">
        <v>13824283.359999999</v>
      </c>
      <c r="M55" s="97">
        <f>O55/O56</f>
        <v>1</v>
      </c>
      <c r="N55" t="s">
        <v>173</v>
      </c>
      <c r="O55" s="157">
        <v>50578449</v>
      </c>
      <c r="R55" s="97">
        <f>T55/T56</f>
        <v>1</v>
      </c>
      <c r="S55" t="s">
        <v>173</v>
      </c>
      <c r="T55" s="157">
        <v>50578449</v>
      </c>
    </row>
    <row r="56" spans="1:23" ht="15" x14ac:dyDescent="0.25">
      <c r="C56"/>
      <c r="D56"/>
      <c r="E56" s="158">
        <f>SUM(E54:E55)</f>
        <v>12791761.4</v>
      </c>
      <c r="H56"/>
      <c r="I56"/>
      <c r="J56" s="158">
        <f>SUM(J54:J55)</f>
        <v>13824283.359999999</v>
      </c>
      <c r="M56"/>
      <c r="N56"/>
      <c r="O56" s="158">
        <f>SUM(O54:O55)</f>
        <v>50578449</v>
      </c>
      <c r="R56"/>
      <c r="S56"/>
      <c r="T56" s="158">
        <f>SUM(T54:T55)</f>
        <v>50578449</v>
      </c>
    </row>
    <row r="57" spans="1:23" ht="15" x14ac:dyDescent="0.25">
      <c r="C57"/>
      <c r="D57"/>
      <c r="E57" s="159"/>
    </row>
    <row r="58" spans="1:23" ht="15" x14ac:dyDescent="0.25">
      <c r="C58"/>
      <c r="D58"/>
      <c r="E58" s="158"/>
      <c r="H58" s="97"/>
      <c r="I58"/>
      <c r="M58" s="97"/>
      <c r="N58"/>
      <c r="R58" s="97"/>
      <c r="S58"/>
    </row>
    <row r="59" spans="1:23" ht="15" x14ac:dyDescent="0.25">
      <c r="B59" s="160"/>
      <c r="C59" s="160"/>
      <c r="D59" s="160"/>
      <c r="E59" s="161"/>
      <c r="F59" s="160"/>
    </row>
    <row r="60" spans="1:23" ht="15" x14ac:dyDescent="0.25">
      <c r="B60" s="160"/>
      <c r="C60" s="160"/>
      <c r="D60" s="160"/>
      <c r="E60" s="161"/>
      <c r="F60" s="160"/>
    </row>
    <row r="62" spans="1:23" ht="15" x14ac:dyDescent="0.25">
      <c r="A62" s="162"/>
      <c r="E62" s="163"/>
    </row>
    <row r="63" spans="1:23" ht="15" x14ac:dyDescent="0.25">
      <c r="A63" s="162"/>
      <c r="E63" s="163"/>
    </row>
    <row r="64" spans="1:23" ht="15" x14ac:dyDescent="0.25">
      <c r="E64" s="164"/>
    </row>
    <row r="66" spans="2:5" ht="15" x14ac:dyDescent="0.25">
      <c r="B66" s="160"/>
      <c r="C66" s="160"/>
      <c r="D66" s="160"/>
      <c r="E66" s="161"/>
    </row>
    <row r="67" spans="2:5" ht="15" x14ac:dyDescent="0.25">
      <c r="B67" s="160"/>
      <c r="C67" s="160"/>
      <c r="D67" s="160"/>
      <c r="E67" s="161"/>
    </row>
  </sheetData>
  <mergeCells count="11">
    <mergeCell ref="L1:O1"/>
    <mergeCell ref="Q1:T1"/>
    <mergeCell ref="L2:O2"/>
    <mergeCell ref="Q2:T2"/>
    <mergeCell ref="M3:N3"/>
    <mergeCell ref="R3:S3"/>
    <mergeCell ref="B1:E1"/>
    <mergeCell ref="G1:J1"/>
    <mergeCell ref="B2:E2"/>
    <mergeCell ref="G2:J2"/>
    <mergeCell ref="H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08D9-842B-4CBD-A00B-3FBE254D860B}">
  <dimension ref="B2:M53"/>
  <sheetViews>
    <sheetView workbookViewId="0">
      <selection activeCell="D15" sqref="D15"/>
    </sheetView>
  </sheetViews>
  <sheetFormatPr defaultRowHeight="15" x14ac:dyDescent="0.25"/>
  <cols>
    <col min="2" max="5" width="15.28515625" customWidth="1"/>
    <col min="6" max="6" width="3.7109375" customWidth="1"/>
    <col min="7" max="10" width="15.28515625" customWidth="1"/>
    <col min="11" max="11" width="3.7109375" customWidth="1"/>
    <col min="12" max="12" width="13.85546875" bestFit="1" customWidth="1"/>
    <col min="13" max="13" width="3.7109375" customWidth="1"/>
  </cols>
  <sheetData>
    <row r="2" spans="2:13" ht="15.75" x14ac:dyDescent="0.25">
      <c r="B2" s="237" t="s">
        <v>286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69"/>
    </row>
    <row r="3" spans="2:13" ht="15.75" x14ac:dyDescent="0.25">
      <c r="B3" s="237" t="s">
        <v>287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169"/>
    </row>
    <row r="4" spans="2:13" ht="15.75" x14ac:dyDescent="0.25"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69"/>
    </row>
    <row r="5" spans="2:13" x14ac:dyDescent="0.25">
      <c r="B5" s="236" t="s">
        <v>288</v>
      </c>
      <c r="C5" s="236"/>
      <c r="D5" s="236"/>
      <c r="E5" s="236"/>
      <c r="G5" s="236" t="s">
        <v>288</v>
      </c>
      <c r="H5" s="236"/>
      <c r="I5" s="236"/>
      <c r="J5" s="236"/>
      <c r="K5" s="169"/>
      <c r="L5" s="171"/>
    </row>
    <row r="6" spans="2:13" x14ac:dyDescent="0.25">
      <c r="B6" s="236" t="s">
        <v>289</v>
      </c>
      <c r="C6" s="236"/>
      <c r="D6" s="236"/>
      <c r="E6" s="236"/>
      <c r="G6" s="236" t="s">
        <v>290</v>
      </c>
      <c r="H6" s="236"/>
      <c r="I6" s="236"/>
      <c r="J6" s="236"/>
      <c r="K6" s="169"/>
      <c r="L6" s="171"/>
    </row>
    <row r="7" spans="2:13" x14ac:dyDescent="0.25">
      <c r="B7" s="236" t="s">
        <v>291</v>
      </c>
      <c r="C7" s="236"/>
      <c r="D7" s="236"/>
      <c r="E7" s="236"/>
      <c r="G7" s="236" t="s">
        <v>292</v>
      </c>
      <c r="H7" s="236"/>
      <c r="I7" s="236"/>
      <c r="J7" s="236"/>
      <c r="K7" s="169"/>
      <c r="L7" s="171"/>
    </row>
    <row r="8" spans="2:13" ht="30" x14ac:dyDescent="0.25">
      <c r="B8" s="172" t="s">
        <v>183</v>
      </c>
      <c r="C8" s="173" t="s">
        <v>34</v>
      </c>
      <c r="D8" s="173" t="s">
        <v>231</v>
      </c>
      <c r="E8" s="174" t="s">
        <v>293</v>
      </c>
      <c r="G8" s="172" t="s">
        <v>183</v>
      </c>
      <c r="H8" s="173" t="s">
        <v>34</v>
      </c>
      <c r="I8" s="173" t="s">
        <v>231</v>
      </c>
      <c r="J8" s="174" t="s">
        <v>293</v>
      </c>
      <c r="L8" s="174" t="s">
        <v>294</v>
      </c>
    </row>
    <row r="9" spans="2:13" x14ac:dyDescent="0.25">
      <c r="B9" s="175">
        <v>46203</v>
      </c>
      <c r="C9" s="176">
        <v>122500.00000000001</v>
      </c>
      <c r="D9" s="176">
        <v>851235.44999999984</v>
      </c>
      <c r="E9" s="176">
        <f>C9+D9</f>
        <v>973735.44999999984</v>
      </c>
      <c r="G9" s="175">
        <v>46203</v>
      </c>
      <c r="H9" s="176">
        <v>87500</v>
      </c>
      <c r="I9" s="176">
        <v>862665</v>
      </c>
      <c r="J9" s="177">
        <f t="shared" ref="J9:J44" si="0">H9+I9</f>
        <v>950165</v>
      </c>
      <c r="L9" s="176">
        <f>E9-J9</f>
        <v>23570.449999999837</v>
      </c>
    </row>
    <row r="10" spans="2:13" x14ac:dyDescent="0.25">
      <c r="B10" s="175">
        <f>EDATE(B9,12)</f>
        <v>46568</v>
      </c>
      <c r="C10" s="178">
        <v>252499.99999999997</v>
      </c>
      <c r="D10" s="178">
        <v>1052400</v>
      </c>
      <c r="E10" s="178">
        <f t="shared" ref="E10:E47" si="1">C10+D10</f>
        <v>1304900</v>
      </c>
      <c r="F10" s="179"/>
      <c r="G10" s="175">
        <f>EDATE(G9,12)</f>
        <v>46568</v>
      </c>
      <c r="H10" s="178">
        <v>182500.00000000003</v>
      </c>
      <c r="I10" s="178">
        <v>1068912.5000000002</v>
      </c>
      <c r="J10" s="178">
        <f t="shared" si="0"/>
        <v>1251412.5000000002</v>
      </c>
      <c r="K10" s="179"/>
      <c r="L10" s="178">
        <f t="shared" ref="L10:L47" si="2">E10-J10</f>
        <v>53487.499999999767</v>
      </c>
      <c r="M10" s="179"/>
    </row>
    <row r="11" spans="2:13" x14ac:dyDescent="0.25">
      <c r="B11" s="175">
        <f t="shared" ref="B11:B47" si="3">EDATE(B10,12)</f>
        <v>46934</v>
      </c>
      <c r="C11" s="178">
        <v>270000.00000000006</v>
      </c>
      <c r="D11" s="178">
        <v>1036312.4999999998</v>
      </c>
      <c r="E11" s="178">
        <f t="shared" si="1"/>
        <v>1306312.4999999998</v>
      </c>
      <c r="F11" s="179"/>
      <c r="G11" s="175">
        <f t="shared" ref="G11:G47" si="4">EDATE(G10,12)</f>
        <v>46934</v>
      </c>
      <c r="H11" s="178">
        <v>194999.99999999997</v>
      </c>
      <c r="I11" s="178">
        <v>1057049.9999999998</v>
      </c>
      <c r="J11" s="178">
        <f t="shared" si="0"/>
        <v>1252049.9999999998</v>
      </c>
      <c r="K11" s="179"/>
      <c r="L11" s="178">
        <f t="shared" si="2"/>
        <v>54262.5</v>
      </c>
      <c r="M11" s="179"/>
    </row>
    <row r="12" spans="2:13" x14ac:dyDescent="0.25">
      <c r="B12" s="175">
        <f t="shared" si="3"/>
        <v>47299</v>
      </c>
      <c r="C12" s="178">
        <v>287500</v>
      </c>
      <c r="D12" s="178">
        <v>1020487.5000000002</v>
      </c>
      <c r="E12" s="178">
        <f>C12+D12</f>
        <v>1307987.5000000002</v>
      </c>
      <c r="F12" s="179"/>
      <c r="G12" s="175">
        <f t="shared" si="4"/>
        <v>47299</v>
      </c>
      <c r="H12" s="178">
        <v>205000</v>
      </c>
      <c r="I12" s="178">
        <v>1045024.9999999998</v>
      </c>
      <c r="J12" s="178">
        <f t="shared" si="0"/>
        <v>1250024.9999999998</v>
      </c>
      <c r="K12" s="179"/>
      <c r="L12" s="178">
        <f t="shared" si="2"/>
        <v>57962.500000000466</v>
      </c>
      <c r="M12" s="179"/>
    </row>
    <row r="13" spans="2:13" x14ac:dyDescent="0.25">
      <c r="B13" s="180">
        <f t="shared" si="3"/>
        <v>47664</v>
      </c>
      <c r="C13" s="181">
        <v>302500</v>
      </c>
      <c r="D13" s="181">
        <v>1004675</v>
      </c>
      <c r="E13" s="181">
        <f t="shared" si="1"/>
        <v>1307175</v>
      </c>
      <c r="F13" s="179"/>
      <c r="G13" s="180">
        <f t="shared" si="4"/>
        <v>47664</v>
      </c>
      <c r="H13" s="181">
        <v>217500</v>
      </c>
      <c r="I13" s="181">
        <v>1033399.9999999999</v>
      </c>
      <c r="J13" s="181">
        <f t="shared" si="0"/>
        <v>1250900</v>
      </c>
      <c r="K13" s="179"/>
      <c r="L13" s="181">
        <f t="shared" si="2"/>
        <v>56275</v>
      </c>
      <c r="M13" s="179"/>
    </row>
    <row r="14" spans="2:13" x14ac:dyDescent="0.25">
      <c r="B14" s="182">
        <f t="shared" si="3"/>
        <v>48029</v>
      </c>
      <c r="C14" s="183">
        <v>320000</v>
      </c>
      <c r="D14" s="183">
        <v>988037.49999999977</v>
      </c>
      <c r="E14" s="183">
        <f t="shared" si="1"/>
        <v>1308037.4999999998</v>
      </c>
      <c r="F14" s="179"/>
      <c r="G14" s="182">
        <f t="shared" si="4"/>
        <v>48029</v>
      </c>
      <c r="H14" s="183">
        <v>230000.00000000006</v>
      </c>
      <c r="I14" s="183">
        <v>1021437.4999999999</v>
      </c>
      <c r="J14" s="183">
        <f t="shared" si="0"/>
        <v>1251437.5</v>
      </c>
      <c r="K14" s="179"/>
      <c r="L14" s="183">
        <f t="shared" si="2"/>
        <v>56599.999999999767</v>
      </c>
      <c r="M14" s="179"/>
    </row>
    <row r="15" spans="2:13" x14ac:dyDescent="0.25">
      <c r="B15" s="175">
        <f t="shared" si="3"/>
        <v>48395</v>
      </c>
      <c r="C15" s="178">
        <v>340000</v>
      </c>
      <c r="D15" s="178">
        <v>970437.49999999988</v>
      </c>
      <c r="E15" s="178">
        <f t="shared" si="1"/>
        <v>1310437.5</v>
      </c>
      <c r="F15" s="179"/>
      <c r="G15" s="175">
        <f t="shared" si="4"/>
        <v>48395</v>
      </c>
      <c r="H15" s="178">
        <v>242500.00000000003</v>
      </c>
      <c r="I15" s="178">
        <v>1008787.5000000002</v>
      </c>
      <c r="J15" s="178">
        <f t="shared" si="0"/>
        <v>1251287.5000000002</v>
      </c>
      <c r="K15" s="179"/>
      <c r="L15" s="178">
        <f t="shared" si="2"/>
        <v>59149.999999999767</v>
      </c>
      <c r="M15" s="179"/>
    </row>
    <row r="16" spans="2:13" x14ac:dyDescent="0.25">
      <c r="B16" s="175">
        <f t="shared" si="3"/>
        <v>48760</v>
      </c>
      <c r="C16" s="178">
        <v>359999.99999999994</v>
      </c>
      <c r="D16" s="178">
        <v>951737.5</v>
      </c>
      <c r="E16" s="178">
        <f t="shared" si="1"/>
        <v>1311737.5</v>
      </c>
      <c r="F16" s="179"/>
      <c r="G16" s="175">
        <f t="shared" si="4"/>
        <v>48760</v>
      </c>
      <c r="H16" s="178">
        <v>257500.00000000003</v>
      </c>
      <c r="I16" s="178">
        <v>995450</v>
      </c>
      <c r="J16" s="178">
        <f t="shared" si="0"/>
        <v>1252950</v>
      </c>
      <c r="K16" s="179"/>
      <c r="L16" s="178">
        <f t="shared" si="2"/>
        <v>58787.5</v>
      </c>
      <c r="M16" s="179"/>
    </row>
    <row r="17" spans="2:13" x14ac:dyDescent="0.25">
      <c r="B17" s="175">
        <f t="shared" si="3"/>
        <v>49125</v>
      </c>
      <c r="C17" s="178">
        <v>380000</v>
      </c>
      <c r="D17" s="178">
        <v>931937.49999999977</v>
      </c>
      <c r="E17" s="178">
        <f t="shared" si="1"/>
        <v>1311937.4999999998</v>
      </c>
      <c r="F17" s="179"/>
      <c r="G17" s="175">
        <f t="shared" si="4"/>
        <v>49125</v>
      </c>
      <c r="H17" s="178">
        <v>272500.00000000006</v>
      </c>
      <c r="I17" s="178">
        <v>981287.49999999977</v>
      </c>
      <c r="J17" s="178">
        <f t="shared" si="0"/>
        <v>1253787.4999999998</v>
      </c>
      <c r="K17" s="179"/>
      <c r="L17" s="178">
        <f t="shared" si="2"/>
        <v>58150</v>
      </c>
      <c r="M17" s="179"/>
    </row>
    <row r="18" spans="2:13" x14ac:dyDescent="0.25">
      <c r="B18" s="180">
        <f t="shared" si="3"/>
        <v>49490</v>
      </c>
      <c r="C18" s="181">
        <v>400000.00000000006</v>
      </c>
      <c r="D18" s="181">
        <v>911037.49999999988</v>
      </c>
      <c r="E18" s="181">
        <f t="shared" si="1"/>
        <v>1311037.5</v>
      </c>
      <c r="F18" s="179"/>
      <c r="G18" s="180">
        <f t="shared" si="4"/>
        <v>49490</v>
      </c>
      <c r="H18" s="181">
        <v>287500</v>
      </c>
      <c r="I18" s="181">
        <v>966300.00000000023</v>
      </c>
      <c r="J18" s="181">
        <f t="shared" si="0"/>
        <v>1253800.0000000002</v>
      </c>
      <c r="K18" s="179"/>
      <c r="L18" s="181">
        <f t="shared" si="2"/>
        <v>57237.499999999767</v>
      </c>
      <c r="M18" s="179"/>
    </row>
    <row r="19" spans="2:13" x14ac:dyDescent="0.25">
      <c r="B19" s="175">
        <f t="shared" si="3"/>
        <v>49856</v>
      </c>
      <c r="C19" s="178">
        <v>422500</v>
      </c>
      <c r="D19" s="178">
        <v>889037.5</v>
      </c>
      <c r="E19" s="178">
        <f t="shared" si="1"/>
        <v>1311537.5</v>
      </c>
      <c r="F19" s="179"/>
      <c r="G19" s="175">
        <f t="shared" si="4"/>
        <v>49856</v>
      </c>
      <c r="H19" s="178">
        <v>302500</v>
      </c>
      <c r="I19" s="178">
        <v>950487.5</v>
      </c>
      <c r="J19" s="178">
        <f t="shared" si="0"/>
        <v>1252987.5</v>
      </c>
      <c r="K19" s="179"/>
      <c r="L19" s="178">
        <f t="shared" si="2"/>
        <v>58550</v>
      </c>
      <c r="M19" s="179"/>
    </row>
    <row r="20" spans="2:13" x14ac:dyDescent="0.25">
      <c r="B20" s="175">
        <f t="shared" si="3"/>
        <v>50221</v>
      </c>
      <c r="C20" s="178">
        <v>447499.99999999994</v>
      </c>
      <c r="D20" s="178">
        <v>865800</v>
      </c>
      <c r="E20" s="178">
        <f t="shared" si="1"/>
        <v>1313300</v>
      </c>
      <c r="F20" s="179"/>
      <c r="G20" s="175">
        <f t="shared" si="4"/>
        <v>50221</v>
      </c>
      <c r="H20" s="178">
        <v>320000</v>
      </c>
      <c r="I20" s="178">
        <v>933849.99999999977</v>
      </c>
      <c r="J20" s="178">
        <f t="shared" si="0"/>
        <v>1253849.9999999998</v>
      </c>
      <c r="K20" s="179"/>
      <c r="L20" s="178">
        <f t="shared" si="2"/>
        <v>59450.000000000233</v>
      </c>
      <c r="M20" s="179"/>
    </row>
    <row r="21" spans="2:13" x14ac:dyDescent="0.25">
      <c r="B21" s="175">
        <f t="shared" si="3"/>
        <v>50586</v>
      </c>
      <c r="C21" s="178">
        <v>472500.00000000012</v>
      </c>
      <c r="D21" s="178">
        <v>841187.49999999988</v>
      </c>
      <c r="E21" s="178">
        <f t="shared" si="1"/>
        <v>1313687.5</v>
      </c>
      <c r="F21" s="179"/>
      <c r="G21" s="175">
        <f t="shared" si="4"/>
        <v>50586</v>
      </c>
      <c r="H21" s="178">
        <v>340000</v>
      </c>
      <c r="I21" s="178">
        <v>916249.99999999988</v>
      </c>
      <c r="J21" s="178">
        <f t="shared" si="0"/>
        <v>1256250</v>
      </c>
      <c r="K21" s="179"/>
      <c r="L21" s="178">
        <f t="shared" si="2"/>
        <v>57437.5</v>
      </c>
      <c r="M21" s="179"/>
    </row>
    <row r="22" spans="2:13" x14ac:dyDescent="0.25">
      <c r="B22" s="175">
        <f t="shared" si="3"/>
        <v>50951</v>
      </c>
      <c r="C22" s="178">
        <v>497500</v>
      </c>
      <c r="D22" s="178">
        <v>815200</v>
      </c>
      <c r="E22" s="178">
        <f t="shared" si="1"/>
        <v>1312700</v>
      </c>
      <c r="F22" s="179"/>
      <c r="G22" s="175">
        <f t="shared" si="4"/>
        <v>50951</v>
      </c>
      <c r="H22" s="178">
        <v>357500.00000000006</v>
      </c>
      <c r="I22" s="178">
        <v>897550</v>
      </c>
      <c r="J22" s="178">
        <f t="shared" si="0"/>
        <v>1255050</v>
      </c>
      <c r="K22" s="179"/>
      <c r="L22" s="178">
        <f t="shared" si="2"/>
        <v>57650</v>
      </c>
      <c r="M22" s="179"/>
    </row>
    <row r="23" spans="2:13" x14ac:dyDescent="0.25">
      <c r="B23" s="180">
        <f t="shared" si="3"/>
        <v>51317</v>
      </c>
      <c r="C23" s="181">
        <v>525000</v>
      </c>
      <c r="D23" s="181">
        <v>787837.5</v>
      </c>
      <c r="E23" s="181">
        <f t="shared" si="1"/>
        <v>1312837.5</v>
      </c>
      <c r="F23" s="179"/>
      <c r="G23" s="180">
        <f t="shared" si="4"/>
        <v>51317</v>
      </c>
      <c r="H23" s="181">
        <v>377500</v>
      </c>
      <c r="I23" s="181">
        <v>877887.50000000012</v>
      </c>
      <c r="J23" s="181">
        <f t="shared" si="0"/>
        <v>1255387.5</v>
      </c>
      <c r="K23" s="179"/>
      <c r="L23" s="181">
        <f t="shared" si="2"/>
        <v>57450</v>
      </c>
      <c r="M23" s="179"/>
    </row>
    <row r="24" spans="2:13" x14ac:dyDescent="0.25">
      <c r="B24" s="182">
        <f t="shared" si="3"/>
        <v>51682</v>
      </c>
      <c r="C24" s="183">
        <v>555000</v>
      </c>
      <c r="D24" s="183">
        <v>758962.5</v>
      </c>
      <c r="E24" s="183">
        <f t="shared" si="1"/>
        <v>1313962.5</v>
      </c>
      <c r="F24" s="179"/>
      <c r="G24" s="182">
        <f t="shared" si="4"/>
        <v>51682</v>
      </c>
      <c r="H24" s="183">
        <v>400000.00000000006</v>
      </c>
      <c r="I24" s="183">
        <v>857125.00000000012</v>
      </c>
      <c r="J24" s="183">
        <f t="shared" si="0"/>
        <v>1257125.0000000002</v>
      </c>
      <c r="K24" s="179"/>
      <c r="L24" s="183">
        <f t="shared" si="2"/>
        <v>56837.499999999767</v>
      </c>
      <c r="M24" s="179"/>
    </row>
    <row r="25" spans="2:13" x14ac:dyDescent="0.25">
      <c r="B25" s="175">
        <f t="shared" si="3"/>
        <v>52047</v>
      </c>
      <c r="C25" s="178">
        <v>587500</v>
      </c>
      <c r="D25" s="178">
        <v>728437.5</v>
      </c>
      <c r="E25" s="178">
        <f t="shared" si="1"/>
        <v>1315937.5</v>
      </c>
      <c r="F25" s="179"/>
      <c r="G25" s="175">
        <f t="shared" si="4"/>
        <v>52047</v>
      </c>
      <c r="H25" s="178">
        <v>422500</v>
      </c>
      <c r="I25" s="178">
        <v>835124.99999999977</v>
      </c>
      <c r="J25" s="178">
        <f t="shared" si="0"/>
        <v>1257624.9999999998</v>
      </c>
      <c r="K25" s="179"/>
      <c r="L25" s="178">
        <f t="shared" si="2"/>
        <v>58312.500000000233</v>
      </c>
      <c r="M25" s="179"/>
    </row>
    <row r="26" spans="2:13" x14ac:dyDescent="0.25">
      <c r="B26" s="175">
        <f t="shared" si="3"/>
        <v>52412</v>
      </c>
      <c r="C26" s="178">
        <v>620000</v>
      </c>
      <c r="D26" s="178">
        <v>696125.00000000012</v>
      </c>
      <c r="E26" s="178">
        <f t="shared" si="1"/>
        <v>1316125</v>
      </c>
      <c r="F26" s="179"/>
      <c r="G26" s="175">
        <f t="shared" si="4"/>
        <v>52412</v>
      </c>
      <c r="H26" s="178">
        <v>447499.99999999994</v>
      </c>
      <c r="I26" s="178">
        <v>811887.49999999988</v>
      </c>
      <c r="J26" s="178">
        <f t="shared" si="0"/>
        <v>1259387.4999999998</v>
      </c>
      <c r="K26" s="179"/>
      <c r="L26" s="178">
        <f t="shared" si="2"/>
        <v>56737.500000000233</v>
      </c>
      <c r="M26" s="179"/>
    </row>
    <row r="27" spans="2:13" x14ac:dyDescent="0.25">
      <c r="B27" s="175">
        <f t="shared" si="3"/>
        <v>52778</v>
      </c>
      <c r="C27" s="178">
        <v>655000</v>
      </c>
      <c r="D27" s="178">
        <v>662025</v>
      </c>
      <c r="E27" s="178">
        <f t="shared" si="1"/>
        <v>1317025</v>
      </c>
      <c r="F27" s="179"/>
      <c r="G27" s="175">
        <f t="shared" si="4"/>
        <v>52778</v>
      </c>
      <c r="H27" s="178">
        <v>472500.00000000012</v>
      </c>
      <c r="I27" s="178">
        <v>787275.00000000023</v>
      </c>
      <c r="J27" s="178">
        <f t="shared" si="0"/>
        <v>1259775.0000000005</v>
      </c>
      <c r="K27" s="179"/>
      <c r="L27" s="178">
        <f t="shared" si="2"/>
        <v>57249.999999999534</v>
      </c>
      <c r="M27" s="179"/>
    </row>
    <row r="28" spans="2:13" x14ac:dyDescent="0.25">
      <c r="B28" s="180">
        <f t="shared" si="3"/>
        <v>53143</v>
      </c>
      <c r="C28" s="181">
        <v>692500</v>
      </c>
      <c r="D28" s="181">
        <v>626000</v>
      </c>
      <c r="E28" s="181">
        <f t="shared" si="1"/>
        <v>1318500</v>
      </c>
      <c r="F28" s="179"/>
      <c r="G28" s="180">
        <f t="shared" si="4"/>
        <v>53143</v>
      </c>
      <c r="H28" s="181">
        <v>497500</v>
      </c>
      <c r="I28" s="181">
        <v>761287.49999999988</v>
      </c>
      <c r="J28" s="181">
        <f t="shared" si="0"/>
        <v>1258787.5</v>
      </c>
      <c r="K28" s="179"/>
      <c r="L28" s="181">
        <f t="shared" si="2"/>
        <v>59712.5</v>
      </c>
      <c r="M28" s="179"/>
    </row>
    <row r="29" spans="2:13" x14ac:dyDescent="0.25">
      <c r="B29" s="182">
        <f t="shared" si="3"/>
        <v>53508</v>
      </c>
      <c r="C29" s="183">
        <v>732499.99999999988</v>
      </c>
      <c r="D29" s="183">
        <v>587912.5</v>
      </c>
      <c r="E29" s="183">
        <f t="shared" si="1"/>
        <v>1320412.5</v>
      </c>
      <c r="F29" s="179"/>
      <c r="G29" s="182">
        <f t="shared" si="4"/>
        <v>53508</v>
      </c>
      <c r="H29" s="183">
        <v>525000</v>
      </c>
      <c r="I29" s="183">
        <v>733924.99999999988</v>
      </c>
      <c r="J29" s="183">
        <f t="shared" si="0"/>
        <v>1258925</v>
      </c>
      <c r="K29" s="179"/>
      <c r="L29" s="183">
        <f t="shared" si="2"/>
        <v>61487.5</v>
      </c>
      <c r="M29" s="179"/>
    </row>
    <row r="30" spans="2:13" x14ac:dyDescent="0.25">
      <c r="B30" s="175">
        <f t="shared" si="3"/>
        <v>53873</v>
      </c>
      <c r="C30" s="178">
        <v>775000</v>
      </c>
      <c r="D30" s="178">
        <v>546681.25000000012</v>
      </c>
      <c r="E30" s="178">
        <f t="shared" si="1"/>
        <v>1321681.25</v>
      </c>
      <c r="F30" s="179"/>
      <c r="G30" s="175">
        <f t="shared" si="4"/>
        <v>53873</v>
      </c>
      <c r="H30" s="178">
        <v>557500.00000000012</v>
      </c>
      <c r="I30" s="178">
        <v>704374.99999999988</v>
      </c>
      <c r="J30" s="178">
        <f t="shared" si="0"/>
        <v>1261875</v>
      </c>
      <c r="K30" s="179"/>
      <c r="L30" s="178">
        <f t="shared" si="2"/>
        <v>59806.25</v>
      </c>
      <c r="M30" s="179"/>
    </row>
    <row r="31" spans="2:13" x14ac:dyDescent="0.25">
      <c r="B31" s="175">
        <f t="shared" si="3"/>
        <v>54239</v>
      </c>
      <c r="C31" s="178">
        <v>819999.99999999988</v>
      </c>
      <c r="D31" s="178">
        <v>502118.75000000012</v>
      </c>
      <c r="E31" s="178">
        <f t="shared" si="1"/>
        <v>1322118.75</v>
      </c>
      <c r="F31" s="179"/>
      <c r="G31" s="175">
        <f t="shared" si="4"/>
        <v>54239</v>
      </c>
      <c r="H31" s="178">
        <v>590000</v>
      </c>
      <c r="I31" s="178">
        <v>672318.75</v>
      </c>
      <c r="J31" s="178">
        <f t="shared" si="0"/>
        <v>1262318.75</v>
      </c>
      <c r="K31" s="179"/>
      <c r="L31" s="178">
        <f t="shared" si="2"/>
        <v>59800</v>
      </c>
      <c r="M31" s="179"/>
    </row>
    <row r="32" spans="2:13" x14ac:dyDescent="0.25">
      <c r="B32" s="175">
        <f t="shared" si="3"/>
        <v>54604</v>
      </c>
      <c r="C32" s="178">
        <v>870000.00000000023</v>
      </c>
      <c r="D32" s="178">
        <v>454968.74999999988</v>
      </c>
      <c r="E32" s="178">
        <f t="shared" si="1"/>
        <v>1324968.75</v>
      </c>
      <c r="F32" s="179"/>
      <c r="G32" s="175">
        <f t="shared" si="4"/>
        <v>54604</v>
      </c>
      <c r="H32" s="178">
        <v>625000</v>
      </c>
      <c r="I32" s="178">
        <v>638393.75</v>
      </c>
      <c r="J32" s="178">
        <f t="shared" si="0"/>
        <v>1263393.75</v>
      </c>
      <c r="K32" s="179"/>
      <c r="L32" s="178">
        <f t="shared" si="2"/>
        <v>61575</v>
      </c>
      <c r="M32" s="179"/>
    </row>
    <row r="33" spans="2:13" x14ac:dyDescent="0.25">
      <c r="B33" s="180">
        <f t="shared" si="3"/>
        <v>54969</v>
      </c>
      <c r="C33" s="181">
        <v>920000</v>
      </c>
      <c r="D33" s="181">
        <v>404943.75000000012</v>
      </c>
      <c r="E33" s="181">
        <f t="shared" si="1"/>
        <v>1324943.75</v>
      </c>
      <c r="F33" s="179"/>
      <c r="G33" s="180">
        <f t="shared" si="4"/>
        <v>54969</v>
      </c>
      <c r="H33" s="181">
        <v>662500</v>
      </c>
      <c r="I33" s="181">
        <v>602456.25</v>
      </c>
      <c r="J33" s="181">
        <f t="shared" si="0"/>
        <v>1264956.25</v>
      </c>
      <c r="K33" s="179"/>
      <c r="L33" s="181">
        <f t="shared" si="2"/>
        <v>59987.5</v>
      </c>
      <c r="M33" s="179"/>
    </row>
    <row r="34" spans="2:13" x14ac:dyDescent="0.25">
      <c r="B34" s="182">
        <f t="shared" si="3"/>
        <v>55334</v>
      </c>
      <c r="C34" s="183">
        <v>975000</v>
      </c>
      <c r="D34" s="183">
        <v>352043.75000000006</v>
      </c>
      <c r="E34" s="183">
        <f t="shared" si="1"/>
        <v>1327043.75</v>
      </c>
      <c r="F34" s="179"/>
      <c r="G34" s="182">
        <f t="shared" si="4"/>
        <v>55334</v>
      </c>
      <c r="H34" s="183">
        <v>700000</v>
      </c>
      <c r="I34" s="183">
        <v>564362.50000000012</v>
      </c>
      <c r="J34" s="183">
        <f t="shared" si="0"/>
        <v>1264362.5</v>
      </c>
      <c r="K34" s="179"/>
      <c r="L34" s="183">
        <f t="shared" si="2"/>
        <v>62681.25</v>
      </c>
      <c r="M34" s="179"/>
    </row>
    <row r="35" spans="2:13" x14ac:dyDescent="0.25">
      <c r="B35" s="175">
        <f t="shared" si="3"/>
        <v>55700</v>
      </c>
      <c r="C35" s="178">
        <v>1035000</v>
      </c>
      <c r="D35" s="178">
        <v>295981.25</v>
      </c>
      <c r="E35" s="178">
        <f t="shared" si="1"/>
        <v>1330981.25</v>
      </c>
      <c r="F35" s="179"/>
      <c r="G35" s="175">
        <f t="shared" si="4"/>
        <v>55700</v>
      </c>
      <c r="H35" s="178">
        <v>742500</v>
      </c>
      <c r="I35" s="178">
        <v>524112.50000000012</v>
      </c>
      <c r="J35" s="178">
        <f t="shared" si="0"/>
        <v>1266612.5</v>
      </c>
      <c r="K35" s="179"/>
      <c r="L35" s="178">
        <f t="shared" si="2"/>
        <v>64368.75</v>
      </c>
      <c r="M35" s="179"/>
    </row>
    <row r="36" spans="2:13" x14ac:dyDescent="0.25">
      <c r="B36" s="175">
        <f t="shared" si="3"/>
        <v>56065</v>
      </c>
      <c r="C36" s="178">
        <v>1095000</v>
      </c>
      <c r="D36" s="178">
        <v>236468.74999999994</v>
      </c>
      <c r="E36" s="178">
        <f t="shared" si="1"/>
        <v>1331468.75</v>
      </c>
      <c r="F36" s="179"/>
      <c r="G36" s="175">
        <f t="shared" si="4"/>
        <v>56065</v>
      </c>
      <c r="H36" s="178">
        <v>787500</v>
      </c>
      <c r="I36" s="178">
        <v>481418.75000000006</v>
      </c>
      <c r="J36" s="178">
        <f t="shared" si="0"/>
        <v>1268918.75</v>
      </c>
      <c r="K36" s="179"/>
      <c r="L36" s="178">
        <f t="shared" si="2"/>
        <v>62550</v>
      </c>
      <c r="M36" s="179"/>
    </row>
    <row r="37" spans="2:13" x14ac:dyDescent="0.25">
      <c r="B37" s="175">
        <f t="shared" si="3"/>
        <v>56430</v>
      </c>
      <c r="C37" s="178">
        <v>1157500</v>
      </c>
      <c r="D37" s="178">
        <v>173506.25</v>
      </c>
      <c r="E37" s="178">
        <f t="shared" si="1"/>
        <v>1331006.25</v>
      </c>
      <c r="F37" s="179"/>
      <c r="G37" s="175">
        <f t="shared" si="4"/>
        <v>56430</v>
      </c>
      <c r="H37" s="178">
        <v>832500</v>
      </c>
      <c r="I37" s="178">
        <v>436137.50000000006</v>
      </c>
      <c r="J37" s="178">
        <f t="shared" si="0"/>
        <v>1268637.5</v>
      </c>
      <c r="K37" s="179"/>
      <c r="L37" s="178">
        <f t="shared" si="2"/>
        <v>62368.75</v>
      </c>
      <c r="M37" s="179"/>
    </row>
    <row r="38" spans="2:13" x14ac:dyDescent="0.25">
      <c r="B38" s="180">
        <f t="shared" si="3"/>
        <v>56795</v>
      </c>
      <c r="C38" s="184">
        <v>1227500</v>
      </c>
      <c r="D38" s="184">
        <v>106949.99999999997</v>
      </c>
      <c r="E38" s="181">
        <f t="shared" si="1"/>
        <v>1334450</v>
      </c>
      <c r="F38" s="179"/>
      <c r="G38" s="180">
        <f t="shared" si="4"/>
        <v>56795</v>
      </c>
      <c r="H38" s="181">
        <v>882500.00000000012</v>
      </c>
      <c r="I38" s="181">
        <v>388268.75000000006</v>
      </c>
      <c r="J38" s="181">
        <f t="shared" si="0"/>
        <v>1270768.7500000002</v>
      </c>
      <c r="K38" s="179"/>
      <c r="L38" s="181">
        <f t="shared" si="2"/>
        <v>63681.249999999767</v>
      </c>
      <c r="M38" s="179"/>
    </row>
    <row r="39" spans="2:13" x14ac:dyDescent="0.25">
      <c r="B39" s="175">
        <f t="shared" si="3"/>
        <v>57161</v>
      </c>
      <c r="C39" s="185">
        <v>632500</v>
      </c>
      <c r="D39" s="185">
        <v>36368.75</v>
      </c>
      <c r="E39" s="186">
        <f t="shared" si="1"/>
        <v>668868.75</v>
      </c>
      <c r="F39" s="179"/>
      <c r="G39" s="175">
        <f t="shared" si="4"/>
        <v>57161</v>
      </c>
      <c r="H39" s="186">
        <v>935000</v>
      </c>
      <c r="I39" s="186">
        <v>337525</v>
      </c>
      <c r="J39" s="186">
        <f t="shared" si="0"/>
        <v>1272525</v>
      </c>
      <c r="K39" s="179"/>
      <c r="L39" s="186">
        <f t="shared" si="2"/>
        <v>-603656.25</v>
      </c>
      <c r="M39" s="179"/>
    </row>
    <row r="40" spans="2:13" x14ac:dyDescent="0.25">
      <c r="B40" s="175">
        <f t="shared" si="3"/>
        <v>57526</v>
      </c>
      <c r="C40" s="185">
        <v>0</v>
      </c>
      <c r="D40" s="185">
        <v>0</v>
      </c>
      <c r="E40" s="186">
        <f t="shared" si="1"/>
        <v>0</v>
      </c>
      <c r="F40" s="179"/>
      <c r="G40" s="175">
        <f t="shared" si="4"/>
        <v>57526</v>
      </c>
      <c r="H40" s="186">
        <v>990000</v>
      </c>
      <c r="I40" s="186">
        <v>283762.5</v>
      </c>
      <c r="J40" s="186">
        <f t="shared" si="0"/>
        <v>1273762.5</v>
      </c>
      <c r="K40" s="179"/>
      <c r="L40" s="186">
        <f t="shared" si="2"/>
        <v>-1273762.5</v>
      </c>
      <c r="M40" s="179"/>
    </row>
    <row r="41" spans="2:13" x14ac:dyDescent="0.25">
      <c r="B41" s="175">
        <f t="shared" si="3"/>
        <v>57891</v>
      </c>
      <c r="C41" s="178">
        <v>0</v>
      </c>
      <c r="D41" s="178">
        <v>0</v>
      </c>
      <c r="E41" s="178">
        <f t="shared" si="1"/>
        <v>0</v>
      </c>
      <c r="F41" s="179"/>
      <c r="G41" s="175">
        <f t="shared" si="4"/>
        <v>57891</v>
      </c>
      <c r="H41" s="178">
        <v>1050000</v>
      </c>
      <c r="I41" s="178">
        <v>226837.5</v>
      </c>
      <c r="J41" s="178">
        <f t="shared" si="0"/>
        <v>1276837.5</v>
      </c>
      <c r="K41" s="179"/>
      <c r="L41" s="178">
        <f t="shared" si="2"/>
        <v>-1276837.5</v>
      </c>
      <c r="M41" s="179"/>
    </row>
    <row r="42" spans="2:13" x14ac:dyDescent="0.25">
      <c r="B42" s="175">
        <f t="shared" si="3"/>
        <v>58256</v>
      </c>
      <c r="C42" s="185">
        <v>0</v>
      </c>
      <c r="D42" s="185">
        <v>0</v>
      </c>
      <c r="E42" s="186">
        <f t="shared" si="1"/>
        <v>0</v>
      </c>
      <c r="F42" s="179"/>
      <c r="G42" s="175">
        <f t="shared" si="4"/>
        <v>58256</v>
      </c>
      <c r="H42" s="186">
        <v>1112499.9999999998</v>
      </c>
      <c r="I42" s="186">
        <v>166462.5</v>
      </c>
      <c r="J42" s="186">
        <f t="shared" si="0"/>
        <v>1278962.4999999998</v>
      </c>
      <c r="K42" s="179"/>
      <c r="L42" s="186">
        <f t="shared" si="2"/>
        <v>-1278962.4999999998</v>
      </c>
      <c r="M42" s="179"/>
    </row>
    <row r="43" spans="2:13" x14ac:dyDescent="0.25">
      <c r="B43" s="180">
        <f t="shared" si="3"/>
        <v>58622</v>
      </c>
      <c r="C43" s="184">
        <v>0</v>
      </c>
      <c r="D43" s="184">
        <v>0</v>
      </c>
      <c r="E43" s="181">
        <f t="shared" si="1"/>
        <v>0</v>
      </c>
      <c r="F43" s="179"/>
      <c r="G43" s="180">
        <f t="shared" si="4"/>
        <v>58622</v>
      </c>
      <c r="H43" s="181">
        <v>1177500</v>
      </c>
      <c r="I43" s="181">
        <v>102493.75000000003</v>
      </c>
      <c r="J43" s="181">
        <f t="shared" si="0"/>
        <v>1279993.75</v>
      </c>
      <c r="K43" s="179"/>
      <c r="L43" s="181">
        <f t="shared" si="2"/>
        <v>-1279993.75</v>
      </c>
    </row>
    <row r="44" spans="2:13" x14ac:dyDescent="0.25">
      <c r="B44" s="175">
        <f t="shared" si="3"/>
        <v>58987</v>
      </c>
      <c r="C44" s="185">
        <v>0</v>
      </c>
      <c r="D44" s="185">
        <v>0</v>
      </c>
      <c r="E44" s="186">
        <f t="shared" si="1"/>
        <v>0</v>
      </c>
      <c r="F44" s="179"/>
      <c r="G44" s="175">
        <f t="shared" si="4"/>
        <v>58987</v>
      </c>
      <c r="H44" s="186">
        <v>605000</v>
      </c>
      <c r="I44" s="186">
        <v>34787.5</v>
      </c>
      <c r="J44" s="186">
        <f t="shared" si="0"/>
        <v>639787.5</v>
      </c>
      <c r="K44" s="179"/>
      <c r="L44" s="186">
        <f t="shared" si="2"/>
        <v>-639787.5</v>
      </c>
    </row>
    <row r="45" spans="2:13" hidden="1" x14ac:dyDescent="0.25">
      <c r="B45" s="175">
        <f t="shared" si="3"/>
        <v>59352</v>
      </c>
      <c r="C45" s="178">
        <v>0</v>
      </c>
      <c r="D45" s="178">
        <v>0</v>
      </c>
      <c r="E45" s="178">
        <f t="shared" si="1"/>
        <v>0</v>
      </c>
      <c r="F45" s="179"/>
      <c r="G45" s="175">
        <f t="shared" si="4"/>
        <v>59352</v>
      </c>
      <c r="H45" s="178"/>
      <c r="I45" s="178"/>
      <c r="J45" s="178"/>
      <c r="K45" s="179"/>
      <c r="L45" s="187">
        <f t="shared" si="2"/>
        <v>0</v>
      </c>
    </row>
    <row r="46" spans="2:13" hidden="1" x14ac:dyDescent="0.25">
      <c r="B46" s="175">
        <f t="shared" si="3"/>
        <v>59717</v>
      </c>
      <c r="C46" s="185">
        <v>0</v>
      </c>
      <c r="D46" s="185">
        <v>0</v>
      </c>
      <c r="E46" s="186">
        <f t="shared" si="1"/>
        <v>0</v>
      </c>
      <c r="F46" s="179"/>
      <c r="G46" s="175">
        <f t="shared" si="4"/>
        <v>59717</v>
      </c>
      <c r="H46" s="186"/>
      <c r="I46" s="186"/>
      <c r="J46" s="186"/>
      <c r="K46" s="179"/>
      <c r="L46" s="188">
        <f t="shared" si="2"/>
        <v>0</v>
      </c>
      <c r="M46" s="146"/>
    </row>
    <row r="47" spans="2:13" hidden="1" x14ac:dyDescent="0.25">
      <c r="B47" s="175">
        <f t="shared" si="3"/>
        <v>60083</v>
      </c>
      <c r="C47" s="178">
        <v>0</v>
      </c>
      <c r="D47" s="178">
        <v>0</v>
      </c>
      <c r="E47" s="178">
        <f t="shared" si="1"/>
        <v>0</v>
      </c>
      <c r="F47" s="179"/>
      <c r="G47" s="175">
        <f t="shared" si="4"/>
        <v>60083</v>
      </c>
      <c r="H47" s="178"/>
      <c r="I47" s="178"/>
      <c r="J47" s="178"/>
      <c r="K47" s="179"/>
      <c r="L47" s="187">
        <f t="shared" si="2"/>
        <v>0</v>
      </c>
      <c r="M47" s="146"/>
    </row>
    <row r="48" spans="2:13" x14ac:dyDescent="0.25">
      <c r="B48" s="189" t="s">
        <v>295</v>
      </c>
      <c r="C48" s="190">
        <f>SUM(C9:C47)</f>
        <v>18750000</v>
      </c>
      <c r="D48" s="190">
        <f>SUM(D9:D47)</f>
        <v>21086854.199999999</v>
      </c>
      <c r="E48" s="190">
        <f>SUM(E9:E47)</f>
        <v>39836854.200000003</v>
      </c>
      <c r="G48" s="189" t="s">
        <v>295</v>
      </c>
      <c r="H48" s="190">
        <f>SUM(H9:H47)</f>
        <v>18890000</v>
      </c>
      <c r="I48" s="190">
        <f>SUM(I9:I47)</f>
        <v>25566677.5</v>
      </c>
      <c r="J48" s="190">
        <f>SUM(J9:J47)</f>
        <v>44456677.5</v>
      </c>
      <c r="L48" s="190">
        <f>SUM(L9:L47)</f>
        <v>-4619823.3000000007</v>
      </c>
    </row>
    <row r="50" spans="2:12" x14ac:dyDescent="0.25">
      <c r="B50" s="154"/>
      <c r="C50" s="154"/>
      <c r="D50" s="154"/>
      <c r="E50" s="146"/>
      <c r="F50" s="146"/>
      <c r="G50" s="146"/>
      <c r="H50" s="146"/>
      <c r="I50" s="146"/>
      <c r="J50" s="146"/>
      <c r="K50" s="146"/>
      <c r="L50" s="146"/>
    </row>
    <row r="51" spans="2:12" ht="17.25" x14ac:dyDescent="0.4">
      <c r="B51" s="154"/>
      <c r="C51" s="154"/>
      <c r="D51" s="155" t="s">
        <v>234</v>
      </c>
      <c r="E51" s="156">
        <f>MAX(E9:E47)</f>
        <v>1334450</v>
      </c>
      <c r="F51" s="146"/>
      <c r="G51" s="146"/>
      <c r="H51" s="146"/>
      <c r="I51" s="155" t="s">
        <v>234</v>
      </c>
      <c r="J51" s="156">
        <f>MAX(J9:J47)</f>
        <v>1279993.75</v>
      </c>
      <c r="L51" s="156"/>
    </row>
    <row r="52" spans="2:12" x14ac:dyDescent="0.25">
      <c r="B52" s="154"/>
      <c r="C52" s="154"/>
      <c r="D52" s="154"/>
      <c r="E52" s="146"/>
      <c r="F52" s="146"/>
      <c r="G52" s="146"/>
      <c r="H52" s="146"/>
      <c r="I52" s="146"/>
      <c r="J52" s="146"/>
      <c r="L52" s="146"/>
    </row>
    <row r="53" spans="2:12" x14ac:dyDescent="0.25">
      <c r="B53" t="s">
        <v>296</v>
      </c>
    </row>
  </sheetData>
  <mergeCells count="8">
    <mergeCell ref="B7:E7"/>
    <mergeCell ref="G7:J7"/>
    <mergeCell ref="B2:L2"/>
    <mergeCell ref="B3:L3"/>
    <mergeCell ref="B5:E5"/>
    <mergeCell ref="G5:J5"/>
    <mergeCell ref="B6:E6"/>
    <mergeCell ref="G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1D06-5ADE-4A89-86C3-0DF2970F91D4}">
  <dimension ref="M13:O15"/>
  <sheetViews>
    <sheetView workbookViewId="0">
      <selection activeCell="O16" sqref="O16"/>
    </sheetView>
  </sheetViews>
  <sheetFormatPr defaultRowHeight="15" x14ac:dyDescent="0.25"/>
  <cols>
    <col min="13" max="13" width="12.7109375" style="95" bestFit="1" customWidth="1"/>
    <col min="14" max="14" width="11.140625" style="95" bestFit="1" customWidth="1"/>
    <col min="15" max="15" width="12.7109375" bestFit="1" customWidth="1"/>
  </cols>
  <sheetData>
    <row r="13" spans="13:15" x14ac:dyDescent="0.25">
      <c r="M13" s="95">
        <v>533687.5</v>
      </c>
      <c r="N13" s="95">
        <v>215000</v>
      </c>
    </row>
    <row r="14" spans="13:15" x14ac:dyDescent="0.25">
      <c r="M14" s="95">
        <v>528312.5</v>
      </c>
      <c r="N14" s="95">
        <v>0</v>
      </c>
    </row>
    <row r="15" spans="13:15" x14ac:dyDescent="0.25">
      <c r="M15" s="95">
        <f>SUM(M13:M14)</f>
        <v>1062000</v>
      </c>
      <c r="N15" s="95">
        <f>SUM(N13:N14)</f>
        <v>215000</v>
      </c>
      <c r="O15" s="151">
        <f>M15+N15</f>
        <v>1277000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1CF2-7F7F-4A58-916C-56D7366D4A0F}">
  <dimension ref="V14:Z24"/>
  <sheetViews>
    <sheetView topLeftCell="A7" workbookViewId="0">
      <selection activeCell="Z25" sqref="Z25"/>
    </sheetView>
  </sheetViews>
  <sheetFormatPr defaultRowHeight="15" x14ac:dyDescent="0.25"/>
  <cols>
    <col min="23" max="23" width="11.140625" style="95" bestFit="1" customWidth="1"/>
    <col min="25" max="26" width="12.7109375" bestFit="1" customWidth="1"/>
  </cols>
  <sheetData>
    <row r="14" spans="22:26" x14ac:dyDescent="0.25">
      <c r="V14">
        <v>28</v>
      </c>
      <c r="W14" s="95">
        <v>83750</v>
      </c>
      <c r="X14">
        <v>6</v>
      </c>
      <c r="Y14" s="151">
        <f>W14*X14</f>
        <v>502500</v>
      </c>
    </row>
    <row r="15" spans="22:26" x14ac:dyDescent="0.25">
      <c r="W15" s="95">
        <v>87916.67</v>
      </c>
      <c r="X15">
        <v>6</v>
      </c>
      <c r="Y15" s="151">
        <f t="shared" ref="Y15:Y17" si="0">W15*X15</f>
        <v>527500.02</v>
      </c>
      <c r="Z15" s="151">
        <f>Y15+Y14</f>
        <v>1030000.02</v>
      </c>
    </row>
    <row r="16" spans="22:26" x14ac:dyDescent="0.25">
      <c r="W16" s="95">
        <v>217916.67</v>
      </c>
      <c r="X16">
        <v>6</v>
      </c>
      <c r="Y16" s="151">
        <f t="shared" si="0"/>
        <v>1307500.02</v>
      </c>
    </row>
    <row r="17" spans="23:26" x14ac:dyDescent="0.25">
      <c r="W17" s="95">
        <v>213729.17</v>
      </c>
      <c r="X17">
        <v>6</v>
      </c>
      <c r="Y17" s="151">
        <f t="shared" si="0"/>
        <v>1282375.02</v>
      </c>
      <c r="Z17" s="151">
        <f>Y17+Y16</f>
        <v>2589875.04</v>
      </c>
    </row>
    <row r="21" spans="23:26" x14ac:dyDescent="0.25">
      <c r="W21" s="95">
        <v>87916.67</v>
      </c>
      <c r="X21">
        <v>6</v>
      </c>
      <c r="Y21" s="151">
        <f>W21*X21</f>
        <v>527500.02</v>
      </c>
    </row>
    <row r="22" spans="23:26" x14ac:dyDescent="0.25">
      <c r="W22" s="95">
        <v>213729.17</v>
      </c>
      <c r="X22">
        <v>6</v>
      </c>
      <c r="Y22" s="151">
        <f t="shared" ref="Y22:Y24" si="1">W22*X22</f>
        <v>1282375.02</v>
      </c>
      <c r="Z22" s="151">
        <f>SUM(Y21:Y22)</f>
        <v>1809875.04</v>
      </c>
    </row>
    <row r="23" spans="23:26" x14ac:dyDescent="0.25">
      <c r="W23" s="95">
        <v>92500</v>
      </c>
      <c r="X23">
        <v>6</v>
      </c>
      <c r="Y23" s="151">
        <f t="shared" si="1"/>
        <v>555000</v>
      </c>
    </row>
    <row r="24" spans="23:26" x14ac:dyDescent="0.25">
      <c r="W24" s="95">
        <v>209333.33</v>
      </c>
      <c r="X24">
        <v>6</v>
      </c>
      <c r="Y24" s="151">
        <f t="shared" si="1"/>
        <v>1255999.98</v>
      </c>
      <c r="Z24" s="151">
        <f>SUM(Y23:Y24)</f>
        <v>1810999.98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251D-DB8E-47FC-819A-DFFCD0BCB977}">
  <dimension ref="A1:G7"/>
  <sheetViews>
    <sheetView workbookViewId="0">
      <selection activeCell="K31" sqref="K31"/>
    </sheetView>
  </sheetViews>
  <sheetFormatPr defaultRowHeight="15" x14ac:dyDescent="0.25"/>
  <cols>
    <col min="2" max="2" width="11.140625" bestFit="1" customWidth="1"/>
    <col min="7" max="7" width="11.140625" style="95" bestFit="1" customWidth="1"/>
  </cols>
  <sheetData>
    <row r="1" spans="1:7" x14ac:dyDescent="0.25">
      <c r="A1" t="s">
        <v>173</v>
      </c>
    </row>
    <row r="2" spans="1:7" x14ac:dyDescent="0.25">
      <c r="A2" t="s">
        <v>174</v>
      </c>
      <c r="B2" s="96">
        <v>700000</v>
      </c>
      <c r="C2" s="98">
        <v>7.4999999999999997E-2</v>
      </c>
    </row>
    <row r="3" spans="1:7" x14ac:dyDescent="0.25">
      <c r="F3" t="s">
        <v>174</v>
      </c>
      <c r="G3" s="95">
        <v>152327.07</v>
      </c>
    </row>
    <row r="4" spans="1:7" x14ac:dyDescent="0.25">
      <c r="F4" t="s">
        <v>175</v>
      </c>
      <c r="G4" s="95">
        <v>203102.76</v>
      </c>
    </row>
    <row r="5" spans="1:7" x14ac:dyDescent="0.25">
      <c r="F5" t="s">
        <v>176</v>
      </c>
      <c r="G5" s="95">
        <v>203102.76</v>
      </c>
    </row>
    <row r="6" spans="1:7" x14ac:dyDescent="0.25">
      <c r="F6" t="s">
        <v>177</v>
      </c>
      <c r="G6" s="95">
        <v>203102.76</v>
      </c>
    </row>
    <row r="7" spans="1:7" x14ac:dyDescent="0.25">
      <c r="F7" t="s">
        <v>178</v>
      </c>
      <c r="G7" s="95">
        <v>50775.69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B5E5-A73F-4050-A8F3-FFE4D94B6294}">
  <dimension ref="A1:G7"/>
  <sheetViews>
    <sheetView workbookViewId="0">
      <selection activeCell="G8" sqref="G8"/>
    </sheetView>
  </sheetViews>
  <sheetFormatPr defaultRowHeight="15" x14ac:dyDescent="0.25"/>
  <cols>
    <col min="7" max="7" width="12.28515625" customWidth="1"/>
  </cols>
  <sheetData>
    <row r="1" spans="1:7" x14ac:dyDescent="0.25">
      <c r="A1" t="s">
        <v>179</v>
      </c>
    </row>
    <row r="2" spans="1:7" x14ac:dyDescent="0.25">
      <c r="A2" t="s">
        <v>174</v>
      </c>
      <c r="B2" s="96">
        <v>250000</v>
      </c>
      <c r="C2" s="98">
        <v>7.4999999999999997E-2</v>
      </c>
    </row>
    <row r="3" spans="1:7" x14ac:dyDescent="0.25">
      <c r="F3" t="s">
        <v>174</v>
      </c>
      <c r="G3" s="95">
        <v>54402.48</v>
      </c>
    </row>
    <row r="4" spans="1:7" x14ac:dyDescent="0.25">
      <c r="F4" t="s">
        <v>175</v>
      </c>
      <c r="G4" s="95">
        <v>72536.639999999999</v>
      </c>
    </row>
    <row r="5" spans="1:7" x14ac:dyDescent="0.25">
      <c r="F5" t="s">
        <v>176</v>
      </c>
      <c r="G5" s="95">
        <v>72536.639999999999</v>
      </c>
    </row>
    <row r="6" spans="1:7" x14ac:dyDescent="0.25">
      <c r="F6" t="s">
        <v>177</v>
      </c>
      <c r="G6" s="95">
        <v>72536.639999999999</v>
      </c>
    </row>
    <row r="7" spans="1:7" x14ac:dyDescent="0.25">
      <c r="F7" t="s">
        <v>178</v>
      </c>
      <c r="G7" s="95">
        <v>18134.16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4C909-64E6-4D3B-A401-28A513E84933}">
  <dimension ref="A1"/>
  <sheetViews>
    <sheetView topLeftCell="A7"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96FE-2413-4CEF-A90B-C04B0BD6BDEB}">
  <dimension ref="A2:K45"/>
  <sheetViews>
    <sheetView workbookViewId="0">
      <selection activeCell="F5" sqref="F5"/>
    </sheetView>
  </sheetViews>
  <sheetFormatPr defaultRowHeight="15" x14ac:dyDescent="0.25"/>
  <cols>
    <col min="2" max="2" width="9" style="95" customWidth="1"/>
    <col min="3" max="3" width="9.140625" style="95" bestFit="1" customWidth="1"/>
    <col min="4" max="4" width="12.7109375" style="95" bestFit="1" customWidth="1"/>
    <col min="6" max="6" width="10.140625" bestFit="1" customWidth="1"/>
    <col min="8" max="8" width="11.140625" style="95" bestFit="1" customWidth="1"/>
    <col min="9" max="9" width="10.28515625" style="95" bestFit="1" customWidth="1"/>
    <col min="10" max="10" width="11.140625" style="95" bestFit="1" customWidth="1"/>
    <col min="11" max="11" width="8.7109375" style="95"/>
  </cols>
  <sheetData>
    <row r="2" spans="1:8" x14ac:dyDescent="0.25">
      <c r="A2" s="203" t="s">
        <v>175</v>
      </c>
      <c r="B2" s="204">
        <v>800</v>
      </c>
      <c r="C2" s="204">
        <v>775</v>
      </c>
      <c r="D2" s="204">
        <f>B2*C2</f>
        <v>620000</v>
      </c>
      <c r="E2" s="205">
        <v>7.4999999999999997E-2</v>
      </c>
      <c r="F2" s="204">
        <v>14994</v>
      </c>
    </row>
    <row r="3" spans="1:8" x14ac:dyDescent="0.25">
      <c r="A3" s="206" t="s">
        <v>176</v>
      </c>
      <c r="B3" s="207">
        <v>155</v>
      </c>
      <c r="C3" s="207">
        <v>710</v>
      </c>
      <c r="D3" s="207">
        <f>B3*C3</f>
        <v>110050</v>
      </c>
      <c r="E3" s="208">
        <v>7.7499999999999999E-2</v>
      </c>
      <c r="F3" s="207">
        <v>2674.31</v>
      </c>
    </row>
    <row r="4" spans="1:8" x14ac:dyDescent="0.25">
      <c r="A4" s="211" t="s">
        <v>177</v>
      </c>
      <c r="B4" s="212">
        <v>150</v>
      </c>
      <c r="C4" s="212">
        <v>1500</v>
      </c>
      <c r="D4" s="212">
        <f>B4*C4</f>
        <v>225000</v>
      </c>
      <c r="E4" s="213">
        <v>0.08</v>
      </c>
      <c r="F4" s="212">
        <v>5494.11</v>
      </c>
    </row>
    <row r="5" spans="1:8" x14ac:dyDescent="0.25">
      <c r="E5" s="97"/>
      <c r="G5" t="s">
        <v>176</v>
      </c>
      <c r="H5" s="204">
        <v>119952</v>
      </c>
    </row>
    <row r="6" spans="1:8" x14ac:dyDescent="0.25">
      <c r="E6" s="97"/>
    </row>
    <row r="7" spans="1:8" x14ac:dyDescent="0.25">
      <c r="E7" s="97"/>
    </row>
    <row r="8" spans="1:8" x14ac:dyDescent="0.25">
      <c r="E8" s="97"/>
      <c r="G8" t="s">
        <v>177</v>
      </c>
      <c r="H8" s="204">
        <v>179928</v>
      </c>
    </row>
    <row r="9" spans="1:8" x14ac:dyDescent="0.25">
      <c r="E9" s="97"/>
      <c r="H9" s="209">
        <v>21395</v>
      </c>
    </row>
    <row r="10" spans="1:8" x14ac:dyDescent="0.25">
      <c r="E10" s="97"/>
      <c r="H10" s="95">
        <f>SUM(H8:H9)</f>
        <v>201323</v>
      </c>
    </row>
    <row r="11" spans="1:8" x14ac:dyDescent="0.25">
      <c r="E11" s="97"/>
    </row>
    <row r="12" spans="1:8" x14ac:dyDescent="0.25">
      <c r="E12" s="97"/>
      <c r="G12" t="s">
        <v>178</v>
      </c>
      <c r="H12" s="204">
        <v>179928</v>
      </c>
    </row>
    <row r="13" spans="1:8" x14ac:dyDescent="0.25">
      <c r="E13" s="97"/>
      <c r="H13" s="207">
        <v>32092</v>
      </c>
    </row>
    <row r="14" spans="1:8" x14ac:dyDescent="0.25">
      <c r="E14" s="97"/>
      <c r="H14" s="214">
        <v>43953</v>
      </c>
    </row>
    <row r="15" spans="1:8" x14ac:dyDescent="0.25">
      <c r="E15" s="97"/>
      <c r="H15" s="95">
        <f>SUM(H12:H14)</f>
        <v>255973</v>
      </c>
    </row>
    <row r="16" spans="1:8" x14ac:dyDescent="0.25">
      <c r="E16" s="97"/>
    </row>
    <row r="17" spans="5:10" x14ac:dyDescent="0.25">
      <c r="E17" s="97"/>
    </row>
    <row r="19" spans="5:10" x14ac:dyDescent="0.25">
      <c r="G19" t="s">
        <v>299</v>
      </c>
      <c r="H19" s="204">
        <v>179928</v>
      </c>
    </row>
    <row r="20" spans="5:10" x14ac:dyDescent="0.25">
      <c r="H20" s="207">
        <v>32902</v>
      </c>
    </row>
    <row r="21" spans="5:10" x14ac:dyDescent="0.25">
      <c r="H21" s="214">
        <v>65930</v>
      </c>
    </row>
    <row r="22" spans="5:10" x14ac:dyDescent="0.25">
      <c r="H22" s="95">
        <f>SUM(H19:H21)</f>
        <v>278760</v>
      </c>
    </row>
    <row r="27" spans="5:10" x14ac:dyDescent="0.25">
      <c r="G27" t="s">
        <v>300</v>
      </c>
      <c r="H27" s="204">
        <v>59976</v>
      </c>
      <c r="I27" s="204">
        <f>D2*0.05</f>
        <v>31000</v>
      </c>
      <c r="J27" s="204">
        <f>H27+I27</f>
        <v>90976</v>
      </c>
    </row>
    <row r="28" spans="5:10" x14ac:dyDescent="0.25">
      <c r="H28" s="207">
        <v>32902</v>
      </c>
      <c r="I28" s="207">
        <v>0</v>
      </c>
      <c r="J28" s="207">
        <f>H28+I28</f>
        <v>32902</v>
      </c>
    </row>
    <row r="29" spans="5:10" x14ac:dyDescent="0.25">
      <c r="H29" s="214">
        <v>65930</v>
      </c>
      <c r="I29" s="214">
        <v>0</v>
      </c>
      <c r="J29" s="214">
        <f>H29+I29</f>
        <v>65930</v>
      </c>
    </row>
    <row r="30" spans="5:10" x14ac:dyDescent="0.25">
      <c r="J30" s="95">
        <f>SUM(J27:J29)</f>
        <v>189808</v>
      </c>
    </row>
    <row r="36" spans="7:10" x14ac:dyDescent="0.25">
      <c r="G36" t="s">
        <v>301</v>
      </c>
      <c r="H36" s="207">
        <v>10698</v>
      </c>
      <c r="I36" s="207">
        <f>D3*0.05</f>
        <v>5502.5</v>
      </c>
      <c r="J36" s="207">
        <f>H36+I36</f>
        <v>16200.5</v>
      </c>
    </row>
    <row r="37" spans="7:10" x14ac:dyDescent="0.25">
      <c r="H37" s="212"/>
    </row>
    <row r="45" spans="7:10" x14ac:dyDescent="0.25">
      <c r="G45" t="s">
        <v>301</v>
      </c>
      <c r="H45" s="212">
        <v>30612.639999999999</v>
      </c>
      <c r="I45" s="212">
        <f>D4*0.05</f>
        <v>11250</v>
      </c>
      <c r="J45" s="212">
        <f>SUM(H45:I45)</f>
        <v>41862.639999999999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479F-B83A-42C8-B80A-1BC26AA227A6}">
  <dimension ref="A2:K47"/>
  <sheetViews>
    <sheetView workbookViewId="0">
      <selection activeCell="J33" sqref="J33"/>
    </sheetView>
  </sheetViews>
  <sheetFormatPr defaultRowHeight="15" x14ac:dyDescent="0.25"/>
  <cols>
    <col min="2" max="2" width="9" style="95" customWidth="1"/>
    <col min="3" max="3" width="9.5703125" style="95" bestFit="1" customWidth="1"/>
    <col min="4" max="4" width="12.7109375" style="95" bestFit="1" customWidth="1"/>
    <col min="6" max="6" width="10.5703125" bestFit="1" customWidth="1"/>
    <col min="8" max="8" width="11.5703125" style="95" bestFit="1" customWidth="1"/>
    <col min="9" max="9" width="10.28515625" style="95" bestFit="1" customWidth="1"/>
    <col min="10" max="10" width="11.5703125" style="95" bestFit="1" customWidth="1"/>
    <col min="11" max="11" width="8.7109375" style="95"/>
  </cols>
  <sheetData>
    <row r="2" spans="1:8" x14ac:dyDescent="0.25">
      <c r="A2" s="203" t="s">
        <v>175</v>
      </c>
      <c r="B2" s="204">
        <v>450</v>
      </c>
      <c r="C2" s="204">
        <v>778</v>
      </c>
      <c r="D2" s="204">
        <f>B2*C2</f>
        <v>350100</v>
      </c>
      <c r="E2" s="205">
        <v>7.2499999999999995E-2</v>
      </c>
      <c r="F2" s="204">
        <v>8425.92</v>
      </c>
    </row>
    <row r="3" spans="1:8" x14ac:dyDescent="0.25">
      <c r="A3" s="206" t="s">
        <v>176</v>
      </c>
      <c r="B3" s="207">
        <v>155</v>
      </c>
      <c r="C3" s="207">
        <v>650</v>
      </c>
      <c r="D3" s="207">
        <f>B3*C3</f>
        <v>100750</v>
      </c>
      <c r="E3" s="208">
        <v>7.4999999999999997E-2</v>
      </c>
      <c r="F3" s="207">
        <v>7497</v>
      </c>
    </row>
    <row r="4" spans="1:8" x14ac:dyDescent="0.25">
      <c r="A4" s="211" t="s">
        <v>177</v>
      </c>
      <c r="B4" s="212">
        <v>200</v>
      </c>
      <c r="C4" s="212">
        <v>1750</v>
      </c>
      <c r="D4" s="212">
        <f>B4*C4</f>
        <v>350000</v>
      </c>
      <c r="E4" s="213">
        <v>7.7499999999999999E-2</v>
      </c>
      <c r="F4" s="212">
        <v>8505.32</v>
      </c>
    </row>
    <row r="5" spans="1:8" x14ac:dyDescent="0.25">
      <c r="A5" s="223" t="s">
        <v>178</v>
      </c>
      <c r="B5" s="224">
        <v>300</v>
      </c>
      <c r="C5" s="224">
        <v>1750</v>
      </c>
      <c r="D5" s="224">
        <f>B5*C5</f>
        <v>525000</v>
      </c>
      <c r="E5" s="225">
        <v>0.08</v>
      </c>
      <c r="F5" s="224">
        <v>12819.59</v>
      </c>
      <c r="G5" t="s">
        <v>175</v>
      </c>
      <c r="H5" s="204">
        <v>67408</v>
      </c>
    </row>
    <row r="6" spans="1:8" x14ac:dyDescent="0.25">
      <c r="E6" s="97"/>
    </row>
    <row r="7" spans="1:8" x14ac:dyDescent="0.25">
      <c r="E7" s="97"/>
    </row>
    <row r="8" spans="1:8" x14ac:dyDescent="0.25">
      <c r="E8" s="97"/>
      <c r="G8" t="s">
        <v>176</v>
      </c>
      <c r="H8" s="204">
        <v>101112</v>
      </c>
    </row>
    <row r="9" spans="1:8" x14ac:dyDescent="0.25">
      <c r="E9" s="97"/>
      <c r="H9" s="209">
        <v>19493</v>
      </c>
    </row>
    <row r="10" spans="1:8" x14ac:dyDescent="0.25">
      <c r="E10" s="97"/>
      <c r="H10" s="95">
        <f>SUM(H8:H9)</f>
        <v>120605</v>
      </c>
    </row>
    <row r="11" spans="1:8" x14ac:dyDescent="0.25">
      <c r="E11" s="97"/>
    </row>
    <row r="12" spans="1:8" x14ac:dyDescent="0.25">
      <c r="E12" s="97"/>
      <c r="G12" t="s">
        <v>177</v>
      </c>
      <c r="H12" s="204">
        <v>101112</v>
      </c>
    </row>
    <row r="13" spans="1:8" x14ac:dyDescent="0.25">
      <c r="E13" s="97"/>
      <c r="H13" s="207">
        <v>29239</v>
      </c>
    </row>
    <row r="14" spans="1:8" x14ac:dyDescent="0.25">
      <c r="E14" s="97"/>
      <c r="H14" s="214">
        <v>68043</v>
      </c>
    </row>
    <row r="15" spans="1:8" x14ac:dyDescent="0.25">
      <c r="E15" s="97"/>
      <c r="H15" s="95">
        <f>SUM(H12:H14)</f>
        <v>198394</v>
      </c>
    </row>
    <row r="16" spans="1:8" x14ac:dyDescent="0.25">
      <c r="E16" s="97"/>
    </row>
    <row r="17" spans="5:10" x14ac:dyDescent="0.25">
      <c r="E17" s="97"/>
    </row>
    <row r="19" spans="5:10" x14ac:dyDescent="0.25">
      <c r="G19" t="s">
        <v>178</v>
      </c>
      <c r="H19" s="204">
        <v>101112</v>
      </c>
    </row>
    <row r="20" spans="5:10" x14ac:dyDescent="0.25">
      <c r="H20" s="207">
        <v>23239</v>
      </c>
    </row>
    <row r="21" spans="5:10" x14ac:dyDescent="0.25">
      <c r="H21" s="226">
        <v>102064</v>
      </c>
    </row>
    <row r="22" spans="5:10" x14ac:dyDescent="0.25">
      <c r="H22" s="227">
        <v>102557</v>
      </c>
    </row>
    <row r="23" spans="5:10" x14ac:dyDescent="0.25">
      <c r="H23" s="132">
        <f>SUM(H19:H22)</f>
        <v>328972</v>
      </c>
    </row>
    <row r="28" spans="5:10" x14ac:dyDescent="0.25">
      <c r="G28" t="s">
        <v>299</v>
      </c>
      <c r="H28" s="204">
        <v>33704</v>
      </c>
      <c r="I28" s="204">
        <f>D2*0.05</f>
        <v>17505</v>
      </c>
      <c r="J28" s="204">
        <f>H28+I28</f>
        <v>51209</v>
      </c>
    </row>
    <row r="29" spans="5:10" x14ac:dyDescent="0.25">
      <c r="H29" s="228">
        <v>23239</v>
      </c>
      <c r="I29" s="228">
        <v>0</v>
      </c>
      <c r="J29" s="228">
        <f>H29+I29</f>
        <v>23239</v>
      </c>
    </row>
    <row r="30" spans="5:10" x14ac:dyDescent="0.25">
      <c r="H30" s="226">
        <v>102064</v>
      </c>
      <c r="I30" s="226">
        <v>0</v>
      </c>
      <c r="J30" s="226">
        <f>H30+I30</f>
        <v>102064</v>
      </c>
    </row>
    <row r="31" spans="5:10" x14ac:dyDescent="0.25">
      <c r="H31" s="227">
        <v>153836</v>
      </c>
      <c r="I31" s="227"/>
      <c r="J31" s="227">
        <f>H31+I31</f>
        <v>153836</v>
      </c>
    </row>
    <row r="32" spans="5:10" x14ac:dyDescent="0.25">
      <c r="H32" s="132"/>
      <c r="I32" s="132"/>
      <c r="J32" s="132">
        <f>SUM(J28:J31)</f>
        <v>330348</v>
      </c>
    </row>
    <row r="38" spans="7:10" x14ac:dyDescent="0.25">
      <c r="G38" t="s">
        <v>300</v>
      </c>
      <c r="H38" s="207">
        <v>9747</v>
      </c>
      <c r="I38" s="207">
        <f>D3*0.05</f>
        <v>5037.5</v>
      </c>
      <c r="J38" s="207">
        <f>H38+I38</f>
        <v>14784.5</v>
      </c>
    </row>
    <row r="39" spans="7:10" x14ac:dyDescent="0.25">
      <c r="H39" s="212">
        <v>102064</v>
      </c>
    </row>
    <row r="47" spans="7:10" x14ac:dyDescent="0.25">
      <c r="G47" t="s">
        <v>301</v>
      </c>
      <c r="H47" s="212">
        <v>34022</v>
      </c>
      <c r="I47" s="212">
        <f>D4*0.05</f>
        <v>17500</v>
      </c>
      <c r="J47" s="212">
        <f>SUM(H47:I47)</f>
        <v>51522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F4CEF-04AD-4230-B46B-550DB0450510}">
  <dimension ref="A1:AK221"/>
  <sheetViews>
    <sheetView view="pageBreakPreview" zoomScale="85" zoomScaleNormal="80" zoomScaleSheetLayoutView="85" workbookViewId="0">
      <pane xSplit="1" topLeftCell="B1" activePane="topRight" state="frozen"/>
      <selection pane="topRight" sqref="A1:AJ220"/>
    </sheetView>
  </sheetViews>
  <sheetFormatPr defaultRowHeight="15.75" x14ac:dyDescent="0.25"/>
  <cols>
    <col min="1" max="1" width="53.140625" style="7" bestFit="1" customWidth="1"/>
    <col min="2" max="6" width="14.42578125" customWidth="1"/>
    <col min="8" max="12" width="15" customWidth="1"/>
    <col min="14" max="18" width="15.42578125" customWidth="1"/>
    <col min="20" max="24" width="15.85546875" customWidth="1"/>
    <col min="25" max="25" width="11.140625" bestFit="1" customWidth="1"/>
    <col min="26" max="30" width="16.42578125" customWidth="1"/>
    <col min="32" max="36" width="16.42578125" customWidth="1"/>
  </cols>
  <sheetData>
    <row r="1" spans="1:33" x14ac:dyDescent="0.25">
      <c r="A1" s="1" t="s">
        <v>0</v>
      </c>
      <c r="B1" s="1" t="s">
        <v>163</v>
      </c>
      <c r="H1" s="1" t="s">
        <v>164</v>
      </c>
      <c r="N1" s="1" t="s">
        <v>166</v>
      </c>
      <c r="O1" s="57"/>
      <c r="T1" s="1" t="s">
        <v>167</v>
      </c>
      <c r="U1" s="57"/>
      <c r="Z1" s="1" t="s">
        <v>172</v>
      </c>
      <c r="AA1" s="57"/>
      <c r="AF1" s="1" t="s">
        <v>169</v>
      </c>
      <c r="AG1" s="57"/>
    </row>
    <row r="2" spans="1:33" x14ac:dyDescent="0.25">
      <c r="A2" s="2" t="s">
        <v>1</v>
      </c>
      <c r="B2" s="42">
        <v>9416</v>
      </c>
      <c r="H2" s="42">
        <v>9416</v>
      </c>
      <c r="N2" s="42">
        <v>9416</v>
      </c>
      <c r="O2" s="57"/>
      <c r="T2" s="42">
        <v>9416</v>
      </c>
      <c r="U2" s="57"/>
      <c r="Z2" s="42">
        <v>9416</v>
      </c>
      <c r="AA2" s="57"/>
      <c r="AF2" s="42">
        <v>9416</v>
      </c>
      <c r="AG2" s="57"/>
    </row>
    <row r="3" spans="1:33" x14ac:dyDescent="0.25">
      <c r="A3" s="3" t="s">
        <v>2</v>
      </c>
      <c r="B3" s="43">
        <f>B4+B5+B6+B7+B8+B9+B10+B11+B12+B13+B14+B15+B16</f>
        <v>1028</v>
      </c>
      <c r="H3" s="43">
        <f>H4+H5+H6+H7+H8+H9+H10+H11+H12+H13+H14+H15+H16</f>
        <v>1028</v>
      </c>
      <c r="N3" s="43">
        <f>N4+N5+N6+N7+N8+N9+N10+N11+N12+N13+N14+N15+N16</f>
        <v>2443</v>
      </c>
      <c r="O3" s="90"/>
      <c r="T3" s="43">
        <f>T4+T5+T6+T7+T8+T9+T10+T11+T12+T13+T14+T15+T16</f>
        <v>474</v>
      </c>
      <c r="U3" s="90"/>
      <c r="Z3" s="43">
        <f>Z4+Z5+Z6+Z7+Z8+Z9+Z10+Z11+Z12+Z13+Z14+Z15+Z16</f>
        <v>0</v>
      </c>
      <c r="AA3" s="90"/>
      <c r="AF3" s="43">
        <f>AF4+AF5+AF6+AF7+AF8+AF9+AF10+AF11+AF12+AF13+AF14+AF15+AF16</f>
        <v>4973</v>
      </c>
      <c r="AG3" s="90"/>
    </row>
    <row r="4" spans="1:33" x14ac:dyDescent="0.25">
      <c r="A4" s="4" t="s">
        <v>3</v>
      </c>
      <c r="B4" s="44">
        <v>104</v>
      </c>
      <c r="C4" s="92">
        <v>4</v>
      </c>
      <c r="H4" s="44">
        <v>104</v>
      </c>
      <c r="I4" s="92">
        <v>4</v>
      </c>
      <c r="N4" s="45">
        <f>26*5</f>
        <v>130</v>
      </c>
      <c r="O4" s="92">
        <v>5</v>
      </c>
      <c r="T4" s="44">
        <v>75</v>
      </c>
      <c r="U4" s="92">
        <v>3</v>
      </c>
      <c r="Z4" s="44"/>
      <c r="AA4" s="90"/>
      <c r="AF4" s="44">
        <f>B4+H4+N4+T4+Z4</f>
        <v>413</v>
      </c>
      <c r="AG4" s="90"/>
    </row>
    <row r="5" spans="1:33" x14ac:dyDescent="0.25">
      <c r="A5" s="3" t="s">
        <v>4</v>
      </c>
      <c r="B5" s="44">
        <v>111</v>
      </c>
      <c r="C5" s="92">
        <v>4</v>
      </c>
      <c r="H5" s="44">
        <v>111</v>
      </c>
      <c r="I5" s="92">
        <v>4</v>
      </c>
      <c r="N5" s="45">
        <f>27*5</f>
        <v>135</v>
      </c>
      <c r="O5" s="92">
        <v>5</v>
      </c>
      <c r="T5" s="44">
        <v>78</v>
      </c>
      <c r="U5" s="92">
        <v>3</v>
      </c>
      <c r="Z5" s="44"/>
      <c r="AA5" s="90"/>
      <c r="AF5" s="44">
        <f t="shared" ref="AF5:AF16" si="0">B5+H5+N5+T5+Z5</f>
        <v>435</v>
      </c>
      <c r="AG5" s="90"/>
    </row>
    <row r="6" spans="1:33" x14ac:dyDescent="0.25">
      <c r="A6" s="3" t="s">
        <v>5</v>
      </c>
      <c r="B6" s="44">
        <v>111</v>
      </c>
      <c r="C6" s="92">
        <v>4</v>
      </c>
      <c r="H6" s="44">
        <v>111</v>
      </c>
      <c r="I6" s="92">
        <v>4</v>
      </c>
      <c r="N6" s="45">
        <f>27*5</f>
        <v>135</v>
      </c>
      <c r="O6" s="92">
        <v>5</v>
      </c>
      <c r="T6" s="44">
        <v>84</v>
      </c>
      <c r="U6" s="92">
        <v>3</v>
      </c>
      <c r="V6" s="166"/>
      <c r="Z6" s="44"/>
      <c r="AA6" s="90"/>
      <c r="AF6" s="44">
        <f t="shared" si="0"/>
        <v>441</v>
      </c>
      <c r="AG6" s="90"/>
    </row>
    <row r="7" spans="1:33" x14ac:dyDescent="0.25">
      <c r="A7" s="5" t="s">
        <v>6</v>
      </c>
      <c r="B7" s="44">
        <v>111</v>
      </c>
      <c r="C7" s="92">
        <v>4</v>
      </c>
      <c r="H7" s="44">
        <v>111</v>
      </c>
      <c r="I7" s="92">
        <v>4</v>
      </c>
      <c r="N7" s="45">
        <f>28*5</f>
        <v>140</v>
      </c>
      <c r="O7" s="92">
        <v>5</v>
      </c>
      <c r="T7" s="44">
        <v>81</v>
      </c>
      <c r="U7" s="92">
        <v>3</v>
      </c>
      <c r="Z7" s="44"/>
      <c r="AA7" s="90"/>
      <c r="AF7" s="44">
        <f t="shared" si="0"/>
        <v>443</v>
      </c>
      <c r="AG7" s="90"/>
    </row>
    <row r="8" spans="1:33" x14ac:dyDescent="0.25">
      <c r="A8" s="5" t="s">
        <v>7</v>
      </c>
      <c r="B8" s="44">
        <v>111</v>
      </c>
      <c r="C8" s="92">
        <v>4</v>
      </c>
      <c r="H8" s="44">
        <v>111</v>
      </c>
      <c r="I8" s="92">
        <v>4</v>
      </c>
      <c r="N8" s="45">
        <f>28*5</f>
        <v>140</v>
      </c>
      <c r="O8" s="92">
        <v>5</v>
      </c>
      <c r="T8" s="44">
        <v>77</v>
      </c>
      <c r="U8" s="92">
        <v>3</v>
      </c>
      <c r="Z8" s="44"/>
      <c r="AA8" s="90"/>
      <c r="AF8" s="44">
        <f t="shared" si="0"/>
        <v>439</v>
      </c>
      <c r="AG8" s="90"/>
    </row>
    <row r="9" spans="1:33" x14ac:dyDescent="0.25">
      <c r="A9" s="5" t="s">
        <v>8</v>
      </c>
      <c r="B9" s="44">
        <v>110</v>
      </c>
      <c r="C9" s="92">
        <v>4</v>
      </c>
      <c r="H9" s="44">
        <v>110</v>
      </c>
      <c r="I9" s="92">
        <v>4</v>
      </c>
      <c r="N9" s="45">
        <f>28*5</f>
        <v>140</v>
      </c>
      <c r="O9" s="92">
        <v>5</v>
      </c>
      <c r="T9" s="44">
        <v>79</v>
      </c>
      <c r="U9" s="92">
        <v>3</v>
      </c>
      <c r="Z9" s="44"/>
      <c r="AA9" s="90"/>
      <c r="AF9" s="44">
        <f t="shared" si="0"/>
        <v>439</v>
      </c>
      <c r="AG9" s="90"/>
    </row>
    <row r="10" spans="1:33" x14ac:dyDescent="0.25">
      <c r="A10" s="5" t="s">
        <v>9</v>
      </c>
      <c r="B10" s="44">
        <v>124</v>
      </c>
      <c r="C10" s="92">
        <v>4</v>
      </c>
      <c r="H10" s="44">
        <v>124</v>
      </c>
      <c r="I10" s="92">
        <v>4</v>
      </c>
      <c r="N10" s="45">
        <f>32*5</f>
        <v>160</v>
      </c>
      <c r="O10" s="92">
        <v>5</v>
      </c>
      <c r="T10" s="44">
        <v>0</v>
      </c>
      <c r="U10" s="92"/>
      <c r="Z10" s="44"/>
      <c r="AA10" s="90"/>
      <c r="AF10" s="44">
        <f t="shared" si="0"/>
        <v>408</v>
      </c>
      <c r="AG10" s="90"/>
    </row>
    <row r="11" spans="1:33" x14ac:dyDescent="0.25">
      <c r="A11" s="5" t="s">
        <v>10</v>
      </c>
      <c r="B11" s="44">
        <v>124</v>
      </c>
      <c r="C11" s="92">
        <v>4</v>
      </c>
      <c r="H11" s="44">
        <v>124</v>
      </c>
      <c r="I11" s="92">
        <v>4</v>
      </c>
      <c r="N11" s="45">
        <f>32*5</f>
        <v>160</v>
      </c>
      <c r="O11" s="92">
        <v>5</v>
      </c>
      <c r="T11" s="44">
        <v>0</v>
      </c>
      <c r="U11" s="92"/>
      <c r="Z11" s="44"/>
      <c r="AA11" s="90"/>
      <c r="AF11" s="44">
        <f t="shared" si="0"/>
        <v>408</v>
      </c>
      <c r="AG11" s="90"/>
    </row>
    <row r="12" spans="1:33" x14ac:dyDescent="0.25">
      <c r="A12" s="5" t="s">
        <v>11</v>
      </c>
      <c r="B12" s="44">
        <v>122</v>
      </c>
      <c r="C12" s="92">
        <v>4</v>
      </c>
      <c r="H12" s="44">
        <v>122</v>
      </c>
      <c r="I12" s="92">
        <v>4</v>
      </c>
      <c r="N12" s="45">
        <f>32*5</f>
        <v>160</v>
      </c>
      <c r="O12" s="92">
        <v>5</v>
      </c>
      <c r="T12" s="44">
        <v>0</v>
      </c>
      <c r="U12" s="92"/>
      <c r="Z12" s="44"/>
      <c r="AA12" s="90"/>
      <c r="AF12" s="44">
        <f t="shared" si="0"/>
        <v>404</v>
      </c>
      <c r="AG12" s="90"/>
    </row>
    <row r="13" spans="1:33" x14ac:dyDescent="0.25">
      <c r="A13" s="5" t="s">
        <v>12</v>
      </c>
      <c r="B13" s="45">
        <v>0</v>
      </c>
      <c r="C13" s="92"/>
      <c r="H13" s="45">
        <v>0</v>
      </c>
      <c r="I13" s="92"/>
      <c r="N13" s="45">
        <f>32*10</f>
        <v>320</v>
      </c>
      <c r="O13" s="92">
        <v>10</v>
      </c>
      <c r="T13" s="45">
        <v>0</v>
      </c>
      <c r="U13" s="92"/>
      <c r="Z13" s="45"/>
      <c r="AA13" s="90"/>
      <c r="AF13" s="44">
        <f t="shared" si="0"/>
        <v>320</v>
      </c>
      <c r="AG13" s="90"/>
    </row>
    <row r="14" spans="1:33" x14ac:dyDescent="0.25">
      <c r="A14" s="5" t="s">
        <v>13</v>
      </c>
      <c r="B14" s="45">
        <v>0</v>
      </c>
      <c r="C14" s="92"/>
      <c r="H14" s="45">
        <v>0</v>
      </c>
      <c r="I14" s="92"/>
      <c r="N14" s="45">
        <v>295</v>
      </c>
      <c r="O14" s="92">
        <v>10</v>
      </c>
      <c r="T14" s="45">
        <v>0</v>
      </c>
      <c r="U14" s="92"/>
      <c r="Z14" s="45">
        <v>0</v>
      </c>
      <c r="AA14" s="90"/>
      <c r="AF14" s="44">
        <f t="shared" si="0"/>
        <v>295</v>
      </c>
      <c r="AG14" s="90"/>
    </row>
    <row r="15" spans="1:33" x14ac:dyDescent="0.25">
      <c r="A15" s="5" t="s">
        <v>14</v>
      </c>
      <c r="B15" s="45">
        <v>0</v>
      </c>
      <c r="C15" s="92"/>
      <c r="H15" s="45">
        <v>0</v>
      </c>
      <c r="I15" s="92"/>
      <c r="N15" s="45">
        <v>278</v>
      </c>
      <c r="O15" s="92">
        <v>9</v>
      </c>
      <c r="T15" s="45">
        <v>0</v>
      </c>
      <c r="U15" s="92"/>
      <c r="Z15" s="45">
        <v>0</v>
      </c>
      <c r="AA15" s="90"/>
      <c r="AF15" s="44">
        <f t="shared" si="0"/>
        <v>278</v>
      </c>
      <c r="AG15" s="90"/>
    </row>
    <row r="16" spans="1:33" x14ac:dyDescent="0.25">
      <c r="A16" s="5" t="s">
        <v>15</v>
      </c>
      <c r="B16" s="45">
        <v>0</v>
      </c>
      <c r="C16" s="92"/>
      <c r="H16" s="45">
        <v>0</v>
      </c>
      <c r="I16" s="92"/>
      <c r="N16" s="45">
        <v>250</v>
      </c>
      <c r="O16" s="92">
        <v>9</v>
      </c>
      <c r="T16" s="45">
        <v>0</v>
      </c>
      <c r="U16" s="92"/>
      <c r="Z16" s="45">
        <v>0</v>
      </c>
      <c r="AA16" s="90"/>
      <c r="AF16" s="44">
        <f t="shared" si="0"/>
        <v>250</v>
      </c>
      <c r="AG16" s="90"/>
    </row>
    <row r="17" spans="1:36" x14ac:dyDescent="0.25">
      <c r="A17" s="6" t="s">
        <v>2</v>
      </c>
      <c r="B17" s="43">
        <f>SUM(B4:B16)</f>
        <v>1028</v>
      </c>
      <c r="C17" s="92">
        <f>SUM(C4:C16)</f>
        <v>36</v>
      </c>
      <c r="H17" s="43">
        <f>SUM(H4:H16)</f>
        <v>1028</v>
      </c>
      <c r="I17" s="92">
        <f>SUM(I4:I16)</f>
        <v>36</v>
      </c>
      <c r="N17" s="43">
        <f>SUM(N4:N16)</f>
        <v>2443</v>
      </c>
      <c r="O17" s="92">
        <f>SUM(O4:O16)</f>
        <v>83</v>
      </c>
      <c r="T17" s="43">
        <f>SUM(T4:T16)</f>
        <v>474</v>
      </c>
      <c r="U17" s="92">
        <f>SUM(U4:U16)</f>
        <v>18</v>
      </c>
      <c r="Z17" s="43">
        <f>SUM(Z4:Z16)</f>
        <v>0</v>
      </c>
      <c r="AA17" s="90"/>
      <c r="AF17" s="43">
        <f>SUM(AF4:AF16)</f>
        <v>4973</v>
      </c>
      <c r="AG17" s="90"/>
    </row>
    <row r="20" spans="1:36" x14ac:dyDescent="0.25">
      <c r="A20" s="8" t="s">
        <v>16</v>
      </c>
      <c r="B20" s="46" t="s">
        <v>157</v>
      </c>
      <c r="C20" s="46" t="s">
        <v>158</v>
      </c>
      <c r="D20" s="46" t="s">
        <v>159</v>
      </c>
      <c r="E20" s="46" t="s">
        <v>160</v>
      </c>
      <c r="F20" s="46" t="s">
        <v>161</v>
      </c>
      <c r="H20" s="46" t="s">
        <v>157</v>
      </c>
      <c r="I20" s="46" t="s">
        <v>158</v>
      </c>
      <c r="J20" s="46" t="s">
        <v>159</v>
      </c>
      <c r="K20" s="46" t="s">
        <v>160</v>
      </c>
      <c r="L20" s="46" t="s">
        <v>162</v>
      </c>
      <c r="N20" s="46" t="s">
        <v>157</v>
      </c>
      <c r="O20" s="46" t="s">
        <v>158</v>
      </c>
      <c r="P20" s="46" t="s">
        <v>159</v>
      </c>
      <c r="Q20" s="46" t="s">
        <v>160</v>
      </c>
      <c r="R20" s="46" t="s">
        <v>165</v>
      </c>
      <c r="T20" s="46" t="s">
        <v>157</v>
      </c>
      <c r="U20" s="46" t="s">
        <v>158</v>
      </c>
      <c r="V20" s="46" t="s">
        <v>159</v>
      </c>
      <c r="W20" s="46" t="s">
        <v>160</v>
      </c>
      <c r="X20" s="46" t="s">
        <v>168</v>
      </c>
      <c r="Z20" s="46" t="s">
        <v>157</v>
      </c>
      <c r="AA20" s="46" t="s">
        <v>158</v>
      </c>
      <c r="AB20" s="46" t="s">
        <v>159</v>
      </c>
      <c r="AC20" s="46" t="s">
        <v>280</v>
      </c>
      <c r="AD20" s="46" t="s">
        <v>171</v>
      </c>
      <c r="AF20" s="46" t="s">
        <v>157</v>
      </c>
      <c r="AG20" s="46" t="s">
        <v>158</v>
      </c>
      <c r="AH20" s="46" t="s">
        <v>159</v>
      </c>
      <c r="AI20" s="46" t="s">
        <v>280</v>
      </c>
      <c r="AJ20" s="46" t="s">
        <v>170</v>
      </c>
    </row>
    <row r="21" spans="1:36" x14ac:dyDescent="0.25">
      <c r="A21" s="5" t="s">
        <v>17</v>
      </c>
      <c r="B21" s="45"/>
      <c r="C21" s="45">
        <v>105</v>
      </c>
      <c r="D21" s="45"/>
      <c r="E21" s="45"/>
      <c r="F21" s="45">
        <f>SUM(B21:E21)</f>
        <v>105</v>
      </c>
      <c r="H21" s="45"/>
      <c r="I21" s="45">
        <v>105</v>
      </c>
      <c r="J21" s="45"/>
      <c r="K21" s="45"/>
      <c r="L21" s="45">
        <f>SUM(H21:K21)</f>
        <v>105</v>
      </c>
      <c r="N21" s="45"/>
      <c r="O21" s="45">
        <v>240</v>
      </c>
      <c r="P21" s="45"/>
      <c r="Q21" s="45"/>
      <c r="R21" s="45">
        <f>SUM(N21:Q21)</f>
        <v>240</v>
      </c>
      <c r="T21" s="45"/>
      <c r="U21" s="45">
        <v>50</v>
      </c>
      <c r="V21" s="45"/>
      <c r="W21" s="45"/>
      <c r="X21" s="45">
        <f>SUM(T21:W21)</f>
        <v>50</v>
      </c>
      <c r="Z21" s="47"/>
      <c r="AA21" s="47"/>
      <c r="AB21" s="47"/>
      <c r="AC21" s="45"/>
      <c r="AD21" s="45">
        <f>SUM(Z21:AC21)</f>
        <v>0</v>
      </c>
      <c r="AF21" s="47">
        <f>B21+H21+N21+T21+Z21</f>
        <v>0</v>
      </c>
      <c r="AG21" s="47">
        <f t="shared" ref="AG21:AI21" si="1">C21+I21+O21+U21+AA21</f>
        <v>500</v>
      </c>
      <c r="AH21" s="47">
        <f t="shared" si="1"/>
        <v>0</v>
      </c>
      <c r="AI21" s="47">
        <f t="shared" si="1"/>
        <v>0</v>
      </c>
      <c r="AJ21" s="45">
        <f>SUM(AF21:AI21)</f>
        <v>500</v>
      </c>
    </row>
    <row r="22" spans="1:36" x14ac:dyDescent="0.25">
      <c r="A22" s="5" t="s">
        <v>18</v>
      </c>
      <c r="B22" s="45">
        <v>360</v>
      </c>
      <c r="C22" s="45"/>
      <c r="D22" s="45"/>
      <c r="E22" s="45"/>
      <c r="F22" s="45">
        <f t="shared" ref="F22:F25" si="2">SUM(B22:E22)</f>
        <v>360</v>
      </c>
      <c r="H22" s="45">
        <v>360</v>
      </c>
      <c r="I22" s="45"/>
      <c r="J22" s="45"/>
      <c r="K22" s="45"/>
      <c r="L22" s="45">
        <f t="shared" ref="L22:L25" si="3">SUM(H22:K22)</f>
        <v>360</v>
      </c>
      <c r="N22" s="45">
        <v>739</v>
      </c>
      <c r="O22" s="45"/>
      <c r="P22" s="45"/>
      <c r="Q22" s="45"/>
      <c r="R22" s="45">
        <f t="shared" ref="R22:R25" si="4">SUM(N22:Q22)</f>
        <v>739</v>
      </c>
      <c r="T22" s="45">
        <v>64</v>
      </c>
      <c r="U22" s="45"/>
      <c r="V22" s="45"/>
      <c r="W22" s="45"/>
      <c r="X22" s="45">
        <f t="shared" ref="X22:X25" si="5">SUM(T22:W22)</f>
        <v>64</v>
      </c>
      <c r="Z22" s="47"/>
      <c r="AA22" s="47"/>
      <c r="AB22" s="47"/>
      <c r="AC22" s="45"/>
      <c r="AD22" s="45">
        <f t="shared" ref="AD22:AD25" si="6">SUM(Z22:AC22)</f>
        <v>0</v>
      </c>
      <c r="AF22" s="47">
        <f t="shared" ref="AF22:AF25" si="7">B22+H22+N22+T22+Z22</f>
        <v>1523</v>
      </c>
      <c r="AG22" s="47">
        <f t="shared" ref="AG22:AG25" si="8">C22+I22+O22+U22+AA22</f>
        <v>0</v>
      </c>
      <c r="AH22" s="47">
        <f t="shared" ref="AH22:AH24" si="9">D22+J22+P22+V22+AB22</f>
        <v>0</v>
      </c>
      <c r="AI22" s="47">
        <f t="shared" ref="AI22:AI25" si="10">E22+K22+Q22+W22+AC22</f>
        <v>0</v>
      </c>
      <c r="AJ22" s="45">
        <f t="shared" ref="AJ22:AJ25" si="11">SUM(AF22:AI22)</f>
        <v>1523</v>
      </c>
    </row>
    <row r="23" spans="1:36" x14ac:dyDescent="0.25">
      <c r="A23" s="5" t="s">
        <v>19</v>
      </c>
      <c r="B23" s="47">
        <v>0</v>
      </c>
      <c r="C23" s="47"/>
      <c r="D23" s="47"/>
      <c r="E23" s="47"/>
      <c r="F23" s="45">
        <f t="shared" si="2"/>
        <v>0</v>
      </c>
      <c r="H23" s="47">
        <v>0</v>
      </c>
      <c r="I23" s="47"/>
      <c r="J23" s="47"/>
      <c r="K23" s="47"/>
      <c r="L23" s="45">
        <f t="shared" si="3"/>
        <v>0</v>
      </c>
      <c r="N23" s="47">
        <v>0</v>
      </c>
      <c r="O23" s="47"/>
      <c r="P23" s="47"/>
      <c r="Q23" s="47"/>
      <c r="R23" s="45">
        <f t="shared" si="4"/>
        <v>0</v>
      </c>
      <c r="T23" s="47">
        <v>0</v>
      </c>
      <c r="U23" s="47"/>
      <c r="V23" s="47"/>
      <c r="W23" s="47"/>
      <c r="X23" s="45">
        <f t="shared" si="5"/>
        <v>0</v>
      </c>
      <c r="Z23" s="47"/>
      <c r="AA23" s="47"/>
      <c r="AB23" s="47"/>
      <c r="AC23" s="47"/>
      <c r="AD23" s="45">
        <f t="shared" si="6"/>
        <v>0</v>
      </c>
      <c r="AF23" s="47">
        <f t="shared" si="7"/>
        <v>0</v>
      </c>
      <c r="AG23" s="47">
        <f t="shared" si="8"/>
        <v>0</v>
      </c>
      <c r="AH23" s="47">
        <f t="shared" si="9"/>
        <v>0</v>
      </c>
      <c r="AI23" s="47">
        <f t="shared" si="10"/>
        <v>0</v>
      </c>
      <c r="AJ23" s="45">
        <f t="shared" si="11"/>
        <v>0</v>
      </c>
    </row>
    <row r="24" spans="1:36" x14ac:dyDescent="0.25">
      <c r="A24" s="5" t="s">
        <v>20</v>
      </c>
      <c r="B24" s="47">
        <v>0</v>
      </c>
      <c r="C24" s="47"/>
      <c r="D24" s="47"/>
      <c r="E24" s="47"/>
      <c r="F24" s="45">
        <f t="shared" si="2"/>
        <v>0</v>
      </c>
      <c r="H24" s="47">
        <v>0</v>
      </c>
      <c r="I24" s="47"/>
      <c r="J24" s="47"/>
      <c r="K24" s="47"/>
      <c r="L24" s="45">
        <f t="shared" si="3"/>
        <v>0</v>
      </c>
      <c r="N24" s="47">
        <v>5</v>
      </c>
      <c r="O24" s="47"/>
      <c r="P24" s="47"/>
      <c r="Q24" s="47"/>
      <c r="R24" s="45">
        <f t="shared" si="4"/>
        <v>5</v>
      </c>
      <c r="T24" s="47">
        <v>0</v>
      </c>
      <c r="U24" s="47"/>
      <c r="V24" s="47"/>
      <c r="W24" s="47"/>
      <c r="X24" s="45">
        <f t="shared" si="5"/>
        <v>0</v>
      </c>
      <c r="Z24" s="47"/>
      <c r="AA24" s="47"/>
      <c r="AB24" s="47"/>
      <c r="AC24" s="47"/>
      <c r="AD24" s="45">
        <f t="shared" si="6"/>
        <v>0</v>
      </c>
      <c r="AF24" s="47">
        <f t="shared" si="7"/>
        <v>5</v>
      </c>
      <c r="AG24" s="47">
        <f t="shared" si="8"/>
        <v>0</v>
      </c>
      <c r="AH24" s="47">
        <f t="shared" si="9"/>
        <v>0</v>
      </c>
      <c r="AI24" s="47">
        <f t="shared" si="10"/>
        <v>0</v>
      </c>
      <c r="AJ24" s="45">
        <f t="shared" si="11"/>
        <v>5</v>
      </c>
    </row>
    <row r="25" spans="1:36" x14ac:dyDescent="0.25">
      <c r="A25" s="5" t="s">
        <v>21</v>
      </c>
      <c r="B25" s="48"/>
      <c r="C25" s="48"/>
      <c r="D25" s="49">
        <v>1</v>
      </c>
      <c r="E25" s="49"/>
      <c r="F25" s="45">
        <f t="shared" si="2"/>
        <v>1</v>
      </c>
      <c r="H25" s="48"/>
      <c r="I25" s="48"/>
      <c r="J25" s="49">
        <v>1</v>
      </c>
      <c r="K25" s="49"/>
      <c r="L25" s="45">
        <f t="shared" si="3"/>
        <v>1</v>
      </c>
      <c r="N25" s="48"/>
      <c r="O25" s="48"/>
      <c r="P25" s="49">
        <v>1</v>
      </c>
      <c r="Q25" s="49"/>
      <c r="R25" s="45">
        <f t="shared" si="4"/>
        <v>1</v>
      </c>
      <c r="T25" s="48"/>
      <c r="U25" s="48"/>
      <c r="V25" s="49">
        <v>1</v>
      </c>
      <c r="W25" s="49"/>
      <c r="X25" s="45">
        <f t="shared" si="5"/>
        <v>1</v>
      </c>
      <c r="Z25" s="48"/>
      <c r="AA25" s="48"/>
      <c r="AB25" s="49"/>
      <c r="AC25" s="49"/>
      <c r="AD25" s="45">
        <f t="shared" si="6"/>
        <v>0</v>
      </c>
      <c r="AF25" s="47">
        <f t="shared" si="7"/>
        <v>0</v>
      </c>
      <c r="AG25" s="47">
        <f t="shared" si="8"/>
        <v>0</v>
      </c>
      <c r="AH25" s="48">
        <v>1</v>
      </c>
      <c r="AI25" s="47">
        <f t="shared" si="10"/>
        <v>0</v>
      </c>
      <c r="AJ25" s="45">
        <f t="shared" si="11"/>
        <v>1</v>
      </c>
    </row>
    <row r="26" spans="1:36" x14ac:dyDescent="0.25">
      <c r="A26" s="9" t="s">
        <v>22</v>
      </c>
      <c r="B26" s="46" t="s">
        <v>157</v>
      </c>
      <c r="C26" s="46" t="s">
        <v>158</v>
      </c>
      <c r="D26" s="46" t="s">
        <v>159</v>
      </c>
      <c r="E26" s="46" t="str">
        <f>E20</f>
        <v>Other</v>
      </c>
      <c r="F26" s="46" t="str">
        <f>F20</f>
        <v>FY26- Mtn</v>
      </c>
      <c r="H26" s="46" t="s">
        <v>157</v>
      </c>
      <c r="I26" s="46" t="s">
        <v>158</v>
      </c>
      <c r="J26" s="46" t="s">
        <v>159</v>
      </c>
      <c r="K26" s="46" t="str">
        <f>K20</f>
        <v>Other</v>
      </c>
      <c r="L26" s="46" t="str">
        <f>L20</f>
        <v>FY26- Bon</v>
      </c>
      <c r="N26" s="46" t="s">
        <v>157</v>
      </c>
      <c r="O26" s="46" t="s">
        <v>158</v>
      </c>
      <c r="P26" s="46" t="s">
        <v>159</v>
      </c>
      <c r="Q26" s="46" t="str">
        <f>Q20</f>
        <v>Other</v>
      </c>
      <c r="R26" s="46" t="str">
        <f>R20</f>
        <v>FY26- East</v>
      </c>
      <c r="T26" s="46" t="s">
        <v>157</v>
      </c>
      <c r="U26" s="46" t="s">
        <v>158</v>
      </c>
      <c r="V26" s="46" t="s">
        <v>159</v>
      </c>
      <c r="W26" s="46" t="str">
        <f>W20</f>
        <v>Other</v>
      </c>
      <c r="X26" s="46" t="str">
        <f>X20</f>
        <v>FY26- Cactus</v>
      </c>
      <c r="Z26" s="46" t="s">
        <v>157</v>
      </c>
      <c r="AA26" s="46" t="s">
        <v>158</v>
      </c>
      <c r="AB26" s="46" t="s">
        <v>159</v>
      </c>
      <c r="AC26" s="46" t="str">
        <f>AC20</f>
        <v>Grant</v>
      </c>
      <c r="AD26" s="46" t="str">
        <f>AD20</f>
        <v>FY26 - Central</v>
      </c>
      <c r="AF26" s="46" t="s">
        <v>157</v>
      </c>
      <c r="AG26" s="46" t="s">
        <v>158</v>
      </c>
      <c r="AH26" s="46" t="s">
        <v>159</v>
      </c>
      <c r="AI26" s="46" t="str">
        <f>AI20</f>
        <v>Grant</v>
      </c>
      <c r="AJ26" s="46" t="str">
        <f>AJ20</f>
        <v>FY26- Sys</v>
      </c>
    </row>
    <row r="27" spans="1:36" x14ac:dyDescent="0.25">
      <c r="A27" s="10" t="s">
        <v>23</v>
      </c>
      <c r="B27" s="50">
        <v>36</v>
      </c>
      <c r="C27" s="50"/>
      <c r="D27" s="50"/>
      <c r="E27" s="50"/>
      <c r="F27" s="50">
        <f>SUM(B27:E27)</f>
        <v>36</v>
      </c>
      <c r="H27" s="50">
        <v>36</v>
      </c>
      <c r="I27" s="50"/>
      <c r="J27" s="50"/>
      <c r="K27" s="50"/>
      <c r="L27" s="50">
        <f>SUM(H27:K27)</f>
        <v>36</v>
      </c>
      <c r="N27" s="87">
        <v>83</v>
      </c>
      <c r="O27" s="50"/>
      <c r="P27" s="50"/>
      <c r="Q27" s="50"/>
      <c r="R27" s="50">
        <f>SUM(N27:Q27)</f>
        <v>83</v>
      </c>
      <c r="T27" s="50">
        <v>18</v>
      </c>
      <c r="U27" s="50"/>
      <c r="V27" s="50"/>
      <c r="W27" s="50"/>
      <c r="X27" s="50">
        <f>SUM(T27:W27)</f>
        <v>18</v>
      </c>
      <c r="Z27" s="50"/>
      <c r="AA27" s="50"/>
      <c r="AB27" s="50"/>
      <c r="AC27" s="50"/>
      <c r="AD27" s="50">
        <f>SUM(Z27:AC27)</f>
        <v>0</v>
      </c>
      <c r="AF27" s="50">
        <f>B27+H27+N27+T27+Z27</f>
        <v>173</v>
      </c>
      <c r="AG27" s="50">
        <f t="shared" ref="AG27:AI27" si="12">C27+I27+O27+U27+AA27</f>
        <v>0</v>
      </c>
      <c r="AH27" s="50">
        <f t="shared" si="12"/>
        <v>0</v>
      </c>
      <c r="AI27" s="50">
        <f t="shared" si="12"/>
        <v>0</v>
      </c>
      <c r="AJ27" s="50">
        <f>SUM(AF27:AI27)</f>
        <v>173</v>
      </c>
    </row>
    <row r="28" spans="1:36" x14ac:dyDescent="0.25">
      <c r="A28" s="10" t="s">
        <v>24</v>
      </c>
      <c r="B28" s="51">
        <v>0</v>
      </c>
      <c r="C28" s="51">
        <v>5</v>
      </c>
      <c r="D28" s="51"/>
      <c r="E28" s="51"/>
      <c r="F28" s="50">
        <f t="shared" ref="F28:F35" si="13">SUM(B28:E28)</f>
        <v>5</v>
      </c>
      <c r="H28" s="51">
        <v>0</v>
      </c>
      <c r="I28" s="51">
        <v>4</v>
      </c>
      <c r="J28" s="51"/>
      <c r="K28" s="51"/>
      <c r="L28" s="50">
        <f t="shared" ref="L28:L35" si="14">SUM(H28:K28)</f>
        <v>4</v>
      </c>
      <c r="N28" s="51">
        <v>0</v>
      </c>
      <c r="O28" s="51">
        <v>13</v>
      </c>
      <c r="P28" s="51"/>
      <c r="Q28" s="51"/>
      <c r="R28" s="50">
        <f t="shared" ref="R28:R35" si="15">SUM(N28:Q28)</f>
        <v>13</v>
      </c>
      <c r="T28" s="51">
        <v>0</v>
      </c>
      <c r="U28" s="51">
        <v>3</v>
      </c>
      <c r="V28" s="51"/>
      <c r="W28" s="51"/>
      <c r="X28" s="50">
        <f t="shared" ref="X28:X35" si="16">SUM(T28:W28)</f>
        <v>3</v>
      </c>
      <c r="Z28" s="51"/>
      <c r="AA28" s="51"/>
      <c r="AB28" s="51"/>
      <c r="AC28" s="51"/>
      <c r="AD28" s="50">
        <f t="shared" ref="AD28:AD35" si="17">SUM(Z28:AC28)</f>
        <v>0</v>
      </c>
      <c r="AF28" s="50">
        <f t="shared" ref="AF28:AF35" si="18">B28+H28+N28+T28+Z28</f>
        <v>0</v>
      </c>
      <c r="AG28" s="50">
        <f t="shared" ref="AG28:AG35" si="19">C28+I28+O28+U28+AA28</f>
        <v>25</v>
      </c>
      <c r="AH28" s="50">
        <f t="shared" ref="AH28:AH35" si="20">D28+J28+P28+V28+AB28</f>
        <v>0</v>
      </c>
      <c r="AI28" s="50">
        <f t="shared" ref="AI28:AI35" si="21">E28+K28+Q28+W28+AC28</f>
        <v>0</v>
      </c>
      <c r="AJ28" s="50">
        <f t="shared" ref="AJ28:AJ35" si="22">SUM(AF28:AI28)</f>
        <v>25</v>
      </c>
    </row>
    <row r="29" spans="1:36" x14ac:dyDescent="0.25">
      <c r="A29" s="10" t="s">
        <v>25</v>
      </c>
      <c r="B29" s="50">
        <v>1</v>
      </c>
      <c r="C29" s="50"/>
      <c r="D29" s="50"/>
      <c r="E29" s="50"/>
      <c r="F29" s="50">
        <f t="shared" si="13"/>
        <v>1</v>
      </c>
      <c r="H29" s="50">
        <v>1</v>
      </c>
      <c r="I29" s="50"/>
      <c r="J29" s="50"/>
      <c r="K29" s="50"/>
      <c r="L29" s="50">
        <f t="shared" si="14"/>
        <v>1</v>
      </c>
      <c r="N29" s="50">
        <v>3</v>
      </c>
      <c r="O29" s="50"/>
      <c r="P29" s="50"/>
      <c r="Q29" s="50"/>
      <c r="R29" s="50">
        <f t="shared" si="15"/>
        <v>3</v>
      </c>
      <c r="T29" s="50">
        <v>1</v>
      </c>
      <c r="U29" s="50"/>
      <c r="V29" s="50"/>
      <c r="W29" s="50"/>
      <c r="X29" s="50">
        <f t="shared" si="16"/>
        <v>1</v>
      </c>
      <c r="Z29" s="50"/>
      <c r="AA29" s="50"/>
      <c r="AB29" s="50"/>
      <c r="AC29" s="50"/>
      <c r="AD29" s="50">
        <f t="shared" si="17"/>
        <v>0</v>
      </c>
      <c r="AF29" s="50">
        <f t="shared" si="18"/>
        <v>6</v>
      </c>
      <c r="AG29" s="50">
        <f t="shared" si="19"/>
        <v>0</v>
      </c>
      <c r="AH29" s="50">
        <f t="shared" si="20"/>
        <v>0</v>
      </c>
      <c r="AI29" s="50">
        <f t="shared" si="21"/>
        <v>0</v>
      </c>
      <c r="AJ29" s="50">
        <f t="shared" si="22"/>
        <v>6</v>
      </c>
    </row>
    <row r="30" spans="1:36" x14ac:dyDescent="0.25">
      <c r="A30" s="10" t="s">
        <v>26</v>
      </c>
      <c r="B30" s="50">
        <v>1</v>
      </c>
      <c r="C30" s="50"/>
      <c r="D30" s="50"/>
      <c r="E30" s="50"/>
      <c r="F30" s="50">
        <f t="shared" si="13"/>
        <v>1</v>
      </c>
      <c r="H30" s="50">
        <v>1</v>
      </c>
      <c r="I30" s="50"/>
      <c r="J30" s="50"/>
      <c r="K30" s="50"/>
      <c r="L30" s="50">
        <f t="shared" si="14"/>
        <v>1</v>
      </c>
      <c r="N30" s="50">
        <v>3</v>
      </c>
      <c r="O30" s="50"/>
      <c r="P30" s="50"/>
      <c r="Q30" s="50"/>
      <c r="R30" s="50">
        <f t="shared" si="15"/>
        <v>3</v>
      </c>
      <c r="T30" s="50">
        <v>1</v>
      </c>
      <c r="U30" s="50"/>
      <c r="V30" s="50"/>
      <c r="W30" s="50"/>
      <c r="X30" s="50">
        <f t="shared" si="16"/>
        <v>1</v>
      </c>
      <c r="Z30" s="50"/>
      <c r="AA30" s="50"/>
      <c r="AB30" s="50"/>
      <c r="AC30" s="50"/>
      <c r="AD30" s="50">
        <f t="shared" si="17"/>
        <v>0</v>
      </c>
      <c r="AF30" s="50">
        <f t="shared" si="18"/>
        <v>6</v>
      </c>
      <c r="AG30" s="50">
        <f t="shared" si="19"/>
        <v>0</v>
      </c>
      <c r="AH30" s="50">
        <f t="shared" si="20"/>
        <v>0</v>
      </c>
      <c r="AI30" s="50">
        <f t="shared" si="21"/>
        <v>0</v>
      </c>
      <c r="AJ30" s="50">
        <f t="shared" si="22"/>
        <v>6</v>
      </c>
    </row>
    <row r="31" spans="1:36" x14ac:dyDescent="0.25">
      <c r="A31" s="10" t="s">
        <v>27</v>
      </c>
      <c r="B31" s="50">
        <v>1</v>
      </c>
      <c r="C31" s="50"/>
      <c r="D31" s="50"/>
      <c r="E31" s="50"/>
      <c r="F31" s="50">
        <f t="shared" si="13"/>
        <v>1</v>
      </c>
      <c r="H31" s="50">
        <v>1</v>
      </c>
      <c r="I31" s="50"/>
      <c r="J31" s="50"/>
      <c r="K31" s="50"/>
      <c r="L31" s="50">
        <f t="shared" si="14"/>
        <v>1</v>
      </c>
      <c r="N31" s="50">
        <v>3</v>
      </c>
      <c r="O31" s="50"/>
      <c r="P31" s="50"/>
      <c r="Q31" s="50"/>
      <c r="R31" s="50">
        <f t="shared" si="15"/>
        <v>3</v>
      </c>
      <c r="T31" s="50">
        <v>1</v>
      </c>
      <c r="U31" s="50"/>
      <c r="V31" s="50"/>
      <c r="W31" s="50"/>
      <c r="X31" s="50">
        <f t="shared" si="16"/>
        <v>1</v>
      </c>
      <c r="Z31" s="50"/>
      <c r="AA31" s="50"/>
      <c r="AB31" s="50"/>
      <c r="AC31" s="50"/>
      <c r="AD31" s="50">
        <f t="shared" si="17"/>
        <v>0</v>
      </c>
      <c r="AF31" s="50">
        <f t="shared" si="18"/>
        <v>6</v>
      </c>
      <c r="AG31" s="50">
        <f t="shared" si="19"/>
        <v>0</v>
      </c>
      <c r="AH31" s="50">
        <f t="shared" si="20"/>
        <v>0</v>
      </c>
      <c r="AI31" s="50">
        <f t="shared" si="21"/>
        <v>0</v>
      </c>
      <c r="AJ31" s="50">
        <f t="shared" si="22"/>
        <v>6</v>
      </c>
    </row>
    <row r="32" spans="1:36" x14ac:dyDescent="0.25">
      <c r="A32" s="11" t="s">
        <v>28</v>
      </c>
      <c r="B32" s="50">
        <v>1</v>
      </c>
      <c r="C32" s="50"/>
      <c r="D32" s="50"/>
      <c r="E32" s="50"/>
      <c r="F32" s="50">
        <f t="shared" si="13"/>
        <v>1</v>
      </c>
      <c r="H32" s="50">
        <v>1</v>
      </c>
      <c r="I32" s="50"/>
      <c r="J32" s="50"/>
      <c r="K32" s="50"/>
      <c r="L32" s="50">
        <f t="shared" si="14"/>
        <v>1</v>
      </c>
      <c r="N32" s="50">
        <v>2</v>
      </c>
      <c r="O32" s="50"/>
      <c r="P32" s="50"/>
      <c r="Q32" s="50"/>
      <c r="R32" s="50">
        <f t="shared" si="15"/>
        <v>2</v>
      </c>
      <c r="T32" s="50">
        <v>0</v>
      </c>
      <c r="U32" s="50"/>
      <c r="V32" s="50"/>
      <c r="W32" s="50"/>
      <c r="X32" s="50">
        <f t="shared" si="16"/>
        <v>0</v>
      </c>
      <c r="Z32" s="50"/>
      <c r="AA32" s="50"/>
      <c r="AB32" s="50"/>
      <c r="AC32" s="50"/>
      <c r="AD32" s="50">
        <f t="shared" si="17"/>
        <v>0</v>
      </c>
      <c r="AF32" s="50">
        <f t="shared" si="18"/>
        <v>4</v>
      </c>
      <c r="AG32" s="50">
        <f t="shared" si="19"/>
        <v>0</v>
      </c>
      <c r="AH32" s="50">
        <f t="shared" si="20"/>
        <v>0</v>
      </c>
      <c r="AI32" s="50">
        <f t="shared" si="21"/>
        <v>0</v>
      </c>
      <c r="AJ32" s="50">
        <f t="shared" si="22"/>
        <v>4</v>
      </c>
    </row>
    <row r="33" spans="1:36" x14ac:dyDescent="0.25">
      <c r="A33" s="11" t="s">
        <v>29</v>
      </c>
      <c r="B33" s="50">
        <v>1</v>
      </c>
      <c r="C33" s="50"/>
      <c r="D33" s="50"/>
      <c r="E33" s="50"/>
      <c r="F33" s="50">
        <f t="shared" si="13"/>
        <v>1</v>
      </c>
      <c r="H33" s="50">
        <v>1</v>
      </c>
      <c r="I33" s="50"/>
      <c r="J33" s="50"/>
      <c r="K33" s="50"/>
      <c r="L33" s="50">
        <f t="shared" si="14"/>
        <v>1</v>
      </c>
      <c r="N33" s="50">
        <v>2</v>
      </c>
      <c r="O33" s="50"/>
      <c r="P33" s="50"/>
      <c r="Q33" s="50"/>
      <c r="R33" s="50">
        <f t="shared" si="15"/>
        <v>2</v>
      </c>
      <c r="T33" s="50">
        <v>0</v>
      </c>
      <c r="U33" s="50"/>
      <c r="V33" s="50"/>
      <c r="W33" s="50"/>
      <c r="X33" s="50">
        <f t="shared" si="16"/>
        <v>0</v>
      </c>
      <c r="Z33" s="50"/>
      <c r="AA33" s="50"/>
      <c r="AB33" s="50"/>
      <c r="AC33" s="50"/>
      <c r="AD33" s="50">
        <f t="shared" si="17"/>
        <v>0</v>
      </c>
      <c r="AF33" s="50">
        <f t="shared" si="18"/>
        <v>4</v>
      </c>
      <c r="AG33" s="50">
        <f t="shared" si="19"/>
        <v>0</v>
      </c>
      <c r="AH33" s="50">
        <f t="shared" si="20"/>
        <v>0</v>
      </c>
      <c r="AI33" s="50">
        <f t="shared" si="21"/>
        <v>0</v>
      </c>
      <c r="AJ33" s="50">
        <f t="shared" si="22"/>
        <v>4</v>
      </c>
    </row>
    <row r="34" spans="1:36" x14ac:dyDescent="0.25">
      <c r="A34" s="11" t="s">
        <v>30</v>
      </c>
      <c r="B34" s="50">
        <v>4</v>
      </c>
      <c r="C34" s="50"/>
      <c r="D34" s="50"/>
      <c r="E34" s="50"/>
      <c r="F34" s="50">
        <f t="shared" si="13"/>
        <v>4</v>
      </c>
      <c r="H34" s="50">
        <v>4</v>
      </c>
      <c r="I34" s="50"/>
      <c r="J34" s="50"/>
      <c r="K34" s="50"/>
      <c r="L34" s="50">
        <f t="shared" si="14"/>
        <v>4</v>
      </c>
      <c r="N34" s="50">
        <v>4</v>
      </c>
      <c r="O34" s="50"/>
      <c r="P34" s="50"/>
      <c r="Q34" s="50"/>
      <c r="R34" s="50">
        <f t="shared" si="15"/>
        <v>4</v>
      </c>
      <c r="T34" s="50">
        <v>0</v>
      </c>
      <c r="U34" s="50"/>
      <c r="V34" s="50"/>
      <c r="W34" s="50"/>
      <c r="X34" s="50">
        <f t="shared" si="16"/>
        <v>0</v>
      </c>
      <c r="Z34" s="50"/>
      <c r="AA34" s="50"/>
      <c r="AB34" s="50"/>
      <c r="AC34" s="50"/>
      <c r="AD34" s="50">
        <f t="shared" si="17"/>
        <v>0</v>
      </c>
      <c r="AF34" s="50">
        <f t="shared" si="18"/>
        <v>12</v>
      </c>
      <c r="AG34" s="50">
        <f t="shared" si="19"/>
        <v>0</v>
      </c>
      <c r="AH34" s="50">
        <f t="shared" si="20"/>
        <v>0</v>
      </c>
      <c r="AI34" s="50">
        <f t="shared" si="21"/>
        <v>0</v>
      </c>
      <c r="AJ34" s="50">
        <f t="shared" si="22"/>
        <v>12</v>
      </c>
    </row>
    <row r="35" spans="1:36" x14ac:dyDescent="0.25">
      <c r="A35" s="12" t="s">
        <v>31</v>
      </c>
      <c r="B35" s="50">
        <v>0</v>
      </c>
      <c r="C35" s="50"/>
      <c r="D35" s="50"/>
      <c r="E35" s="50"/>
      <c r="F35" s="50">
        <f t="shared" si="13"/>
        <v>0</v>
      </c>
      <c r="H35" s="50">
        <v>0</v>
      </c>
      <c r="I35" s="50"/>
      <c r="J35" s="50"/>
      <c r="K35" s="50"/>
      <c r="L35" s="50">
        <f t="shared" si="14"/>
        <v>0</v>
      </c>
      <c r="N35" s="50">
        <v>0</v>
      </c>
      <c r="O35" s="50"/>
      <c r="P35" s="50"/>
      <c r="Q35" s="50"/>
      <c r="R35" s="50">
        <f t="shared" si="15"/>
        <v>0</v>
      </c>
      <c r="T35" s="50">
        <v>0</v>
      </c>
      <c r="U35" s="50"/>
      <c r="V35" s="50"/>
      <c r="W35" s="50"/>
      <c r="X35" s="50">
        <f t="shared" si="16"/>
        <v>0</v>
      </c>
      <c r="Z35" s="50"/>
      <c r="AA35" s="50"/>
      <c r="AB35" s="50"/>
      <c r="AC35" s="50"/>
      <c r="AD35" s="50">
        <f t="shared" si="17"/>
        <v>0</v>
      </c>
      <c r="AF35" s="50">
        <f t="shared" si="18"/>
        <v>0</v>
      </c>
      <c r="AG35" s="50">
        <f t="shared" si="19"/>
        <v>0</v>
      </c>
      <c r="AH35" s="50">
        <f t="shared" si="20"/>
        <v>0</v>
      </c>
      <c r="AI35" s="50">
        <f t="shared" si="21"/>
        <v>0</v>
      </c>
      <c r="AJ35" s="50">
        <f t="shared" si="22"/>
        <v>0</v>
      </c>
    </row>
    <row r="36" spans="1:36" x14ac:dyDescent="0.25">
      <c r="A36" s="9" t="s">
        <v>32</v>
      </c>
      <c r="B36" s="52">
        <f>SUM(B27:B35)</f>
        <v>45</v>
      </c>
      <c r="C36" s="52">
        <f t="shared" ref="C36:E36" si="23">SUM(C27:C35)</f>
        <v>5</v>
      </c>
      <c r="D36" s="52">
        <f t="shared" si="23"/>
        <v>0</v>
      </c>
      <c r="E36" s="52">
        <f t="shared" si="23"/>
        <v>0</v>
      </c>
      <c r="F36" s="52">
        <f t="shared" ref="F36" si="24">SUM(F27:F35)</f>
        <v>50</v>
      </c>
      <c r="H36" s="52">
        <f>SUM(H27:H35)</f>
        <v>45</v>
      </c>
      <c r="I36" s="52">
        <f t="shared" ref="I36:L36" si="25">SUM(I27:I35)</f>
        <v>4</v>
      </c>
      <c r="J36" s="52">
        <f t="shared" si="25"/>
        <v>0</v>
      </c>
      <c r="K36" s="52">
        <f t="shared" si="25"/>
        <v>0</v>
      </c>
      <c r="L36" s="52">
        <f t="shared" si="25"/>
        <v>49</v>
      </c>
      <c r="N36" s="52">
        <f>SUM(N27:N35)</f>
        <v>100</v>
      </c>
      <c r="O36" s="52">
        <f t="shared" ref="O36:R36" si="26">SUM(O27:O35)</f>
        <v>13</v>
      </c>
      <c r="P36" s="52">
        <f t="shared" si="26"/>
        <v>0</v>
      </c>
      <c r="Q36" s="52">
        <f t="shared" si="26"/>
        <v>0</v>
      </c>
      <c r="R36" s="52">
        <f t="shared" si="26"/>
        <v>113</v>
      </c>
      <c r="T36" s="52">
        <f t="shared" ref="T36:X36" si="27">SUM(T27:T35)</f>
        <v>21</v>
      </c>
      <c r="U36" s="52">
        <f t="shared" si="27"/>
        <v>3</v>
      </c>
      <c r="V36" s="52">
        <f t="shared" si="27"/>
        <v>0</v>
      </c>
      <c r="W36" s="52">
        <f t="shared" si="27"/>
        <v>0</v>
      </c>
      <c r="X36" s="52">
        <f t="shared" si="27"/>
        <v>24</v>
      </c>
      <c r="Z36" s="52">
        <f>SUM(Z27:Z35)</f>
        <v>0</v>
      </c>
      <c r="AA36" s="52">
        <f t="shared" ref="AA36:AD36" si="28">SUM(AA27:AA35)</f>
        <v>0</v>
      </c>
      <c r="AB36" s="52">
        <f t="shared" si="28"/>
        <v>0</v>
      </c>
      <c r="AC36" s="52">
        <f t="shared" si="28"/>
        <v>0</v>
      </c>
      <c r="AD36" s="52">
        <f t="shared" si="28"/>
        <v>0</v>
      </c>
      <c r="AF36" s="52">
        <f>SUM(AF27:AF35)</f>
        <v>211</v>
      </c>
      <c r="AG36" s="52">
        <f t="shared" ref="AG36:AJ36" si="29">SUM(AG27:AG35)</f>
        <v>25</v>
      </c>
      <c r="AH36" s="52">
        <f t="shared" si="29"/>
        <v>0</v>
      </c>
      <c r="AI36" s="52">
        <f t="shared" si="29"/>
        <v>0</v>
      </c>
      <c r="AJ36" s="52">
        <f t="shared" si="29"/>
        <v>236</v>
      </c>
    </row>
    <row r="37" spans="1:36" x14ac:dyDescent="0.25">
      <c r="A37" s="13"/>
      <c r="B37" s="45"/>
      <c r="C37" s="45"/>
      <c r="D37" s="45"/>
      <c r="E37" s="45"/>
      <c r="F37" s="45"/>
      <c r="H37" s="45"/>
      <c r="I37" s="45"/>
      <c r="J37" s="45"/>
      <c r="K37" s="45"/>
      <c r="L37" s="45"/>
      <c r="N37" s="45"/>
      <c r="O37" s="45"/>
      <c r="P37" s="45"/>
      <c r="Q37" s="45"/>
      <c r="R37" s="45"/>
      <c r="T37" s="45"/>
      <c r="U37" s="45"/>
      <c r="V37" s="45"/>
      <c r="W37" s="45"/>
      <c r="X37" s="45"/>
      <c r="Z37" s="45"/>
      <c r="AA37" s="45"/>
      <c r="AB37" s="45"/>
      <c r="AC37" s="45"/>
      <c r="AD37" s="45"/>
      <c r="AF37" s="45"/>
      <c r="AG37" s="45"/>
      <c r="AH37" s="45"/>
      <c r="AI37" s="45"/>
      <c r="AJ37" s="45"/>
    </row>
    <row r="38" spans="1:36" x14ac:dyDescent="0.25">
      <c r="A38" s="9" t="s">
        <v>33</v>
      </c>
      <c r="B38" s="46" t="s">
        <v>157</v>
      </c>
      <c r="C38" s="46" t="s">
        <v>158</v>
      </c>
      <c r="D38" s="46" t="s">
        <v>159</v>
      </c>
      <c r="E38" s="46" t="str">
        <f>E20</f>
        <v>Other</v>
      </c>
      <c r="F38" s="46" t="str">
        <f>F20</f>
        <v>FY26- Mtn</v>
      </c>
      <c r="H38" s="46" t="s">
        <v>157</v>
      </c>
      <c r="I38" s="46" t="s">
        <v>158</v>
      </c>
      <c r="J38" s="46" t="s">
        <v>159</v>
      </c>
      <c r="K38" s="46" t="str">
        <f>K20</f>
        <v>Other</v>
      </c>
      <c r="L38" s="46" t="str">
        <f>L20</f>
        <v>FY26- Bon</v>
      </c>
      <c r="N38" s="46" t="s">
        <v>157</v>
      </c>
      <c r="O38" s="46" t="s">
        <v>158</v>
      </c>
      <c r="P38" s="46" t="s">
        <v>159</v>
      </c>
      <c r="Q38" s="46" t="str">
        <f>Q20</f>
        <v>Other</v>
      </c>
      <c r="R38" s="46" t="str">
        <f>R20</f>
        <v>FY26- East</v>
      </c>
      <c r="T38" s="46" t="s">
        <v>157</v>
      </c>
      <c r="U38" s="46" t="s">
        <v>158</v>
      </c>
      <c r="V38" s="46" t="s">
        <v>159</v>
      </c>
      <c r="W38" s="46" t="str">
        <f>W20</f>
        <v>Other</v>
      </c>
      <c r="X38" s="46" t="str">
        <f>X20</f>
        <v>FY26- Cactus</v>
      </c>
      <c r="Z38" s="46" t="s">
        <v>157</v>
      </c>
      <c r="AA38" s="46" t="s">
        <v>158</v>
      </c>
      <c r="AB38" s="46" t="s">
        <v>159</v>
      </c>
      <c r="AC38" s="46" t="str">
        <f>AC20</f>
        <v>Grant</v>
      </c>
      <c r="AD38" s="46" t="str">
        <f>AD20</f>
        <v>FY26 - Central</v>
      </c>
      <c r="AF38" s="46" t="s">
        <v>157</v>
      </c>
      <c r="AG38" s="46" t="s">
        <v>158</v>
      </c>
      <c r="AH38" s="46" t="s">
        <v>159</v>
      </c>
      <c r="AI38" s="46" t="str">
        <f>AI20</f>
        <v>Grant</v>
      </c>
      <c r="AJ38" s="46" t="str">
        <f>AJ20</f>
        <v>FY26- Sys</v>
      </c>
    </row>
    <row r="39" spans="1:36" x14ac:dyDescent="0.25">
      <c r="A39" s="11" t="s">
        <v>34</v>
      </c>
      <c r="B39" s="50">
        <v>1</v>
      </c>
      <c r="C39" s="51"/>
      <c r="D39" s="51"/>
      <c r="E39" s="51"/>
      <c r="F39" s="51">
        <f>SUM(B39:E39)</f>
        <v>1</v>
      </c>
      <c r="H39" s="50">
        <v>1</v>
      </c>
      <c r="I39" s="51"/>
      <c r="J39" s="51"/>
      <c r="K39" s="51"/>
      <c r="L39" s="51">
        <f>SUM(H39:K39)</f>
        <v>1</v>
      </c>
      <c r="N39" s="50">
        <v>1</v>
      </c>
      <c r="O39" s="51"/>
      <c r="P39" s="51"/>
      <c r="Q39" s="51"/>
      <c r="R39" s="51">
        <f>SUM(N39:Q39)</f>
        <v>1</v>
      </c>
      <c r="T39" s="50">
        <v>0</v>
      </c>
      <c r="U39" s="51"/>
      <c r="V39" s="51"/>
      <c r="W39" s="51"/>
      <c r="X39" s="51">
        <f>SUM(T39:W39)</f>
        <v>0</v>
      </c>
      <c r="Z39" s="50"/>
      <c r="AA39" s="51"/>
      <c r="AB39" s="51"/>
      <c r="AC39" s="51"/>
      <c r="AD39" s="51">
        <f>SUM(Z39:AC39)</f>
        <v>0</v>
      </c>
      <c r="AF39" s="50">
        <f>B39+H39+N39+T39+Z39</f>
        <v>3</v>
      </c>
      <c r="AG39" s="50">
        <f t="shared" ref="AG39:AI39" si="30">C39+I39+O39+U39+AA39</f>
        <v>0</v>
      </c>
      <c r="AH39" s="50">
        <f t="shared" si="30"/>
        <v>0</v>
      </c>
      <c r="AI39" s="50">
        <f t="shared" si="30"/>
        <v>0</v>
      </c>
      <c r="AJ39" s="51">
        <f>SUM(AF39:AI39)</f>
        <v>3</v>
      </c>
    </row>
    <row r="40" spans="1:36" x14ac:dyDescent="0.25">
      <c r="A40" s="11" t="s">
        <v>35</v>
      </c>
      <c r="B40" s="50">
        <v>3</v>
      </c>
      <c r="C40" s="51"/>
      <c r="D40" s="51"/>
      <c r="E40" s="51"/>
      <c r="F40" s="51">
        <f t="shared" ref="F40:F60" si="31">SUM(B40:E40)</f>
        <v>3</v>
      </c>
      <c r="H40" s="50">
        <v>4</v>
      </c>
      <c r="I40" s="51"/>
      <c r="J40" s="51"/>
      <c r="K40" s="51"/>
      <c r="L40" s="51">
        <f t="shared" ref="L40:L60" si="32">SUM(H40:K40)</f>
        <v>4</v>
      </c>
      <c r="N40" s="50">
        <v>5</v>
      </c>
      <c r="O40" s="51"/>
      <c r="P40" s="51"/>
      <c r="Q40" s="51"/>
      <c r="R40" s="51">
        <f t="shared" ref="R40:R60" si="33">SUM(N40:Q40)</f>
        <v>5</v>
      </c>
      <c r="T40" s="50">
        <v>1</v>
      </c>
      <c r="U40" s="51"/>
      <c r="V40" s="51"/>
      <c r="W40" s="51"/>
      <c r="X40" s="51">
        <f t="shared" ref="X40:X60" si="34">SUM(T40:W40)</f>
        <v>1</v>
      </c>
      <c r="Z40" s="50"/>
      <c r="AA40" s="51">
        <v>1</v>
      </c>
      <c r="AB40" s="51"/>
      <c r="AC40" s="51"/>
      <c r="AD40" s="51">
        <f t="shared" ref="AD40:AD60" si="35">SUM(Z40:AC40)</f>
        <v>1</v>
      </c>
      <c r="AF40" s="50">
        <f t="shared" ref="AF40:AF60" si="36">B40+H40+N40+T40+Z40</f>
        <v>13</v>
      </c>
      <c r="AG40" s="50">
        <f t="shared" ref="AG40:AG60" si="37">C40+I40+O40+U40+AA40</f>
        <v>1</v>
      </c>
      <c r="AH40" s="50">
        <f t="shared" ref="AH40:AH60" si="38">D40+J40+P40+V40+AB40</f>
        <v>0</v>
      </c>
      <c r="AI40" s="50">
        <f t="shared" ref="AI40:AI60" si="39">E40+K40+Q40+W40+AC40</f>
        <v>0</v>
      </c>
      <c r="AJ40" s="51">
        <f t="shared" ref="AJ40:AJ60" si="40">SUM(AF40:AI40)</f>
        <v>14</v>
      </c>
    </row>
    <row r="41" spans="1:36" x14ac:dyDescent="0.25">
      <c r="A41" s="14" t="s">
        <v>36</v>
      </c>
      <c r="B41" s="50">
        <v>1</v>
      </c>
      <c r="C41" s="51"/>
      <c r="D41" s="51"/>
      <c r="E41" s="51"/>
      <c r="F41" s="51">
        <f t="shared" si="31"/>
        <v>1</v>
      </c>
      <c r="H41" s="50">
        <v>1</v>
      </c>
      <c r="I41" s="51"/>
      <c r="J41" s="51"/>
      <c r="K41" s="51"/>
      <c r="L41" s="51">
        <f t="shared" si="32"/>
        <v>1</v>
      </c>
      <c r="N41" s="50">
        <v>1</v>
      </c>
      <c r="O41" s="51"/>
      <c r="P41" s="51"/>
      <c r="Q41" s="51"/>
      <c r="R41" s="51">
        <f t="shared" si="33"/>
        <v>1</v>
      </c>
      <c r="T41" s="50"/>
      <c r="U41" s="51"/>
      <c r="V41" s="51"/>
      <c r="W41" s="51"/>
      <c r="X41" s="51">
        <f t="shared" si="34"/>
        <v>0</v>
      </c>
      <c r="Z41" s="50"/>
      <c r="AA41" s="51"/>
      <c r="AB41" s="51"/>
      <c r="AC41" s="51">
        <v>2</v>
      </c>
      <c r="AD41" s="51">
        <f t="shared" si="35"/>
        <v>2</v>
      </c>
      <c r="AF41" s="50">
        <f t="shared" si="36"/>
        <v>3</v>
      </c>
      <c r="AG41" s="50">
        <f t="shared" si="37"/>
        <v>0</v>
      </c>
      <c r="AH41" s="50">
        <f t="shared" si="38"/>
        <v>0</v>
      </c>
      <c r="AI41" s="50">
        <f t="shared" si="39"/>
        <v>2</v>
      </c>
      <c r="AJ41" s="51">
        <f t="shared" si="40"/>
        <v>5</v>
      </c>
    </row>
    <row r="42" spans="1:36" x14ac:dyDescent="0.25">
      <c r="A42" s="11" t="s">
        <v>37</v>
      </c>
      <c r="B42" s="50"/>
      <c r="C42" s="51"/>
      <c r="D42" s="51"/>
      <c r="E42" s="51"/>
      <c r="F42" s="51">
        <f t="shared" si="31"/>
        <v>0</v>
      </c>
      <c r="H42" s="50"/>
      <c r="I42" s="51"/>
      <c r="J42" s="51"/>
      <c r="K42" s="51"/>
      <c r="L42" s="51">
        <f t="shared" si="32"/>
        <v>0</v>
      </c>
      <c r="N42" s="50"/>
      <c r="O42" s="51"/>
      <c r="P42" s="51"/>
      <c r="Q42" s="51"/>
      <c r="R42" s="51">
        <f t="shared" si="33"/>
        <v>0</v>
      </c>
      <c r="T42" s="50">
        <v>0</v>
      </c>
      <c r="U42" s="51"/>
      <c r="V42" s="51"/>
      <c r="W42" s="51"/>
      <c r="X42" s="51">
        <f t="shared" si="34"/>
        <v>0</v>
      </c>
      <c r="Z42" s="50"/>
      <c r="AA42" s="51"/>
      <c r="AB42" s="51"/>
      <c r="AC42" s="51"/>
      <c r="AD42" s="51">
        <f t="shared" si="35"/>
        <v>0</v>
      </c>
      <c r="AF42" s="50">
        <f t="shared" si="36"/>
        <v>0</v>
      </c>
      <c r="AG42" s="50">
        <f t="shared" si="37"/>
        <v>0</v>
      </c>
      <c r="AH42" s="50">
        <f t="shared" si="38"/>
        <v>0</v>
      </c>
      <c r="AI42" s="50">
        <f t="shared" si="39"/>
        <v>0</v>
      </c>
      <c r="AJ42" s="51">
        <f t="shared" si="40"/>
        <v>0</v>
      </c>
    </row>
    <row r="43" spans="1:36" x14ac:dyDescent="0.25">
      <c r="A43" s="11" t="s">
        <v>38</v>
      </c>
      <c r="B43" s="50">
        <v>2</v>
      </c>
      <c r="C43" s="51"/>
      <c r="D43" s="51"/>
      <c r="E43" s="51"/>
      <c r="F43" s="51">
        <f t="shared" si="31"/>
        <v>2</v>
      </c>
      <c r="H43" s="50">
        <v>1.5</v>
      </c>
      <c r="I43" s="51"/>
      <c r="J43" s="51"/>
      <c r="K43" s="51"/>
      <c r="L43" s="51">
        <f t="shared" si="32"/>
        <v>1.5</v>
      </c>
      <c r="N43" s="50">
        <v>4</v>
      </c>
      <c r="O43" s="51"/>
      <c r="P43" s="51"/>
      <c r="Q43" s="51"/>
      <c r="R43" s="51">
        <f t="shared" si="33"/>
        <v>4</v>
      </c>
      <c r="T43" s="50">
        <v>1</v>
      </c>
      <c r="U43" s="51"/>
      <c r="V43" s="51"/>
      <c r="W43" s="51"/>
      <c r="X43" s="51">
        <f t="shared" si="34"/>
        <v>1</v>
      </c>
      <c r="Z43" s="50"/>
      <c r="AA43" s="51"/>
      <c r="AB43" s="51"/>
      <c r="AC43" s="51">
        <v>3</v>
      </c>
      <c r="AD43" s="51">
        <f t="shared" si="35"/>
        <v>3</v>
      </c>
      <c r="AF43" s="50">
        <f t="shared" si="36"/>
        <v>8.5</v>
      </c>
      <c r="AG43" s="50">
        <f t="shared" si="37"/>
        <v>0</v>
      </c>
      <c r="AH43" s="50">
        <f t="shared" si="38"/>
        <v>0</v>
      </c>
      <c r="AI43" s="50">
        <f t="shared" si="39"/>
        <v>3</v>
      </c>
      <c r="AJ43" s="51">
        <f t="shared" si="40"/>
        <v>11.5</v>
      </c>
    </row>
    <row r="44" spans="1:36" x14ac:dyDescent="0.25">
      <c r="A44" s="11" t="s">
        <v>39</v>
      </c>
      <c r="B44" s="50">
        <v>2</v>
      </c>
      <c r="C44" s="51"/>
      <c r="D44" s="51"/>
      <c r="E44" s="51"/>
      <c r="F44" s="51">
        <f t="shared" si="31"/>
        <v>2</v>
      </c>
      <c r="H44" s="50">
        <v>2</v>
      </c>
      <c r="I44" s="51"/>
      <c r="J44" s="51"/>
      <c r="K44" s="51"/>
      <c r="L44" s="51">
        <f t="shared" si="32"/>
        <v>2</v>
      </c>
      <c r="N44" s="50">
        <v>5</v>
      </c>
      <c r="O44" s="51"/>
      <c r="P44" s="51"/>
      <c r="Q44" s="51"/>
      <c r="R44" s="51">
        <f t="shared" si="33"/>
        <v>5</v>
      </c>
      <c r="T44" s="50"/>
      <c r="U44" s="51"/>
      <c r="V44" s="51"/>
      <c r="W44" s="51"/>
      <c r="X44" s="51">
        <f t="shared" si="34"/>
        <v>0</v>
      </c>
      <c r="Z44" s="50"/>
      <c r="AA44" s="51"/>
      <c r="AB44" s="51"/>
      <c r="AC44" s="51">
        <v>2</v>
      </c>
      <c r="AD44" s="51">
        <f t="shared" si="35"/>
        <v>2</v>
      </c>
      <c r="AF44" s="50">
        <f t="shared" si="36"/>
        <v>9</v>
      </c>
      <c r="AG44" s="50">
        <f t="shared" si="37"/>
        <v>0</v>
      </c>
      <c r="AH44" s="50">
        <f t="shared" si="38"/>
        <v>0</v>
      </c>
      <c r="AI44" s="50">
        <f t="shared" si="39"/>
        <v>2</v>
      </c>
      <c r="AJ44" s="51">
        <f t="shared" si="40"/>
        <v>11</v>
      </c>
    </row>
    <row r="45" spans="1:36" x14ac:dyDescent="0.25">
      <c r="A45" s="11" t="s">
        <v>40</v>
      </c>
      <c r="B45" s="50">
        <v>2</v>
      </c>
      <c r="C45" s="51"/>
      <c r="D45" s="51"/>
      <c r="E45" s="51"/>
      <c r="F45" s="51">
        <f t="shared" si="31"/>
        <v>2</v>
      </c>
      <c r="H45" s="50">
        <v>1</v>
      </c>
      <c r="I45" s="51"/>
      <c r="J45" s="51"/>
      <c r="K45" s="51"/>
      <c r="L45" s="51">
        <f t="shared" si="32"/>
        <v>1</v>
      </c>
      <c r="N45" s="50"/>
      <c r="O45" s="51"/>
      <c r="P45" s="51"/>
      <c r="Q45" s="51"/>
      <c r="R45" s="51">
        <f t="shared" si="33"/>
        <v>0</v>
      </c>
      <c r="T45" s="50"/>
      <c r="U45" s="51"/>
      <c r="V45" s="51"/>
      <c r="W45" s="51"/>
      <c r="X45" s="51">
        <f t="shared" si="34"/>
        <v>0</v>
      </c>
      <c r="Z45" s="50">
        <v>1</v>
      </c>
      <c r="AA45" s="51"/>
      <c r="AB45" s="51"/>
      <c r="AC45" s="51"/>
      <c r="AD45" s="51">
        <f t="shared" si="35"/>
        <v>1</v>
      </c>
      <c r="AF45" s="50">
        <f t="shared" si="36"/>
        <v>4</v>
      </c>
      <c r="AG45" s="50">
        <f t="shared" si="37"/>
        <v>0</v>
      </c>
      <c r="AH45" s="50">
        <f t="shared" si="38"/>
        <v>0</v>
      </c>
      <c r="AI45" s="50">
        <f t="shared" si="39"/>
        <v>0</v>
      </c>
      <c r="AJ45" s="51">
        <f t="shared" si="40"/>
        <v>4</v>
      </c>
    </row>
    <row r="46" spans="1:36" x14ac:dyDescent="0.25">
      <c r="A46" s="11" t="s">
        <v>41</v>
      </c>
      <c r="B46" s="50">
        <v>2</v>
      </c>
      <c r="C46" s="51"/>
      <c r="D46" s="51"/>
      <c r="E46" s="51"/>
      <c r="F46" s="51">
        <f t="shared" si="31"/>
        <v>2</v>
      </c>
      <c r="H46" s="50">
        <v>2</v>
      </c>
      <c r="I46" s="51"/>
      <c r="J46" s="51"/>
      <c r="K46" s="51"/>
      <c r="L46" s="51">
        <f t="shared" si="32"/>
        <v>2</v>
      </c>
      <c r="N46" s="50">
        <v>3</v>
      </c>
      <c r="O46" s="51"/>
      <c r="P46" s="51"/>
      <c r="Q46" s="51"/>
      <c r="R46" s="51">
        <f t="shared" si="33"/>
        <v>3</v>
      </c>
      <c r="T46" s="50">
        <v>1</v>
      </c>
      <c r="U46" s="51"/>
      <c r="V46" s="51"/>
      <c r="W46" s="51"/>
      <c r="X46" s="51">
        <f t="shared" si="34"/>
        <v>1</v>
      </c>
      <c r="Z46" s="50">
        <v>1</v>
      </c>
      <c r="AA46" s="51"/>
      <c r="AB46" s="51"/>
      <c r="AC46" s="51"/>
      <c r="AD46" s="51">
        <f t="shared" si="35"/>
        <v>1</v>
      </c>
      <c r="AF46" s="50">
        <f t="shared" si="36"/>
        <v>9</v>
      </c>
      <c r="AG46" s="50">
        <f t="shared" si="37"/>
        <v>0</v>
      </c>
      <c r="AH46" s="50">
        <f t="shared" si="38"/>
        <v>0</v>
      </c>
      <c r="AI46" s="50">
        <f t="shared" si="39"/>
        <v>0</v>
      </c>
      <c r="AJ46" s="51">
        <f t="shared" si="40"/>
        <v>9</v>
      </c>
    </row>
    <row r="47" spans="1:36" x14ac:dyDescent="0.25">
      <c r="A47" s="11" t="s">
        <v>42</v>
      </c>
      <c r="B47" s="50">
        <v>1</v>
      </c>
      <c r="C47" s="51"/>
      <c r="D47" s="51"/>
      <c r="E47" s="51"/>
      <c r="F47" s="51">
        <f t="shared" si="31"/>
        <v>1</v>
      </c>
      <c r="H47" s="50">
        <v>1</v>
      </c>
      <c r="I47" s="51"/>
      <c r="J47" s="51"/>
      <c r="K47" s="51"/>
      <c r="L47" s="51">
        <f t="shared" si="32"/>
        <v>1</v>
      </c>
      <c r="N47" s="50">
        <v>2</v>
      </c>
      <c r="O47" s="51"/>
      <c r="P47" s="51"/>
      <c r="Q47" s="51"/>
      <c r="R47" s="51">
        <f t="shared" si="33"/>
        <v>2</v>
      </c>
      <c r="T47" s="50">
        <v>1</v>
      </c>
      <c r="U47" s="51"/>
      <c r="V47" s="51"/>
      <c r="W47" s="51"/>
      <c r="X47" s="51">
        <f t="shared" si="34"/>
        <v>1</v>
      </c>
      <c r="Z47" s="50"/>
      <c r="AA47" s="51"/>
      <c r="AB47" s="51"/>
      <c r="AC47" s="51"/>
      <c r="AD47" s="51">
        <f t="shared" si="35"/>
        <v>0</v>
      </c>
      <c r="AF47" s="50">
        <f t="shared" si="36"/>
        <v>5</v>
      </c>
      <c r="AG47" s="50">
        <f t="shared" si="37"/>
        <v>0</v>
      </c>
      <c r="AH47" s="50">
        <f t="shared" si="38"/>
        <v>0</v>
      </c>
      <c r="AI47" s="50">
        <f t="shared" si="39"/>
        <v>0</v>
      </c>
      <c r="AJ47" s="51">
        <f t="shared" si="40"/>
        <v>5</v>
      </c>
    </row>
    <row r="48" spans="1:36" x14ac:dyDescent="0.25">
      <c r="A48" s="11" t="s">
        <v>43</v>
      </c>
      <c r="B48" s="50">
        <v>1</v>
      </c>
      <c r="C48" s="51"/>
      <c r="D48" s="51"/>
      <c r="E48" s="51"/>
      <c r="F48" s="51">
        <f t="shared" si="31"/>
        <v>1</v>
      </c>
      <c r="H48" s="50">
        <v>1</v>
      </c>
      <c r="I48" s="51"/>
      <c r="J48" s="51"/>
      <c r="K48" s="51"/>
      <c r="L48" s="51">
        <f t="shared" si="32"/>
        <v>1</v>
      </c>
      <c r="N48" s="50">
        <v>3</v>
      </c>
      <c r="O48" s="51"/>
      <c r="P48" s="51"/>
      <c r="Q48" s="51"/>
      <c r="R48" s="51">
        <f t="shared" si="33"/>
        <v>3</v>
      </c>
      <c r="T48" s="50"/>
      <c r="U48" s="51"/>
      <c r="V48" s="51"/>
      <c r="W48" s="51"/>
      <c r="X48" s="51">
        <f t="shared" si="34"/>
        <v>0</v>
      </c>
      <c r="Z48" s="50"/>
      <c r="AA48" s="51"/>
      <c r="AB48" s="51"/>
      <c r="AC48" s="51"/>
      <c r="AD48" s="51">
        <f t="shared" si="35"/>
        <v>0</v>
      </c>
      <c r="AF48" s="50">
        <f t="shared" si="36"/>
        <v>5</v>
      </c>
      <c r="AG48" s="50">
        <f t="shared" si="37"/>
        <v>0</v>
      </c>
      <c r="AH48" s="50">
        <f t="shared" si="38"/>
        <v>0</v>
      </c>
      <c r="AI48" s="50">
        <f t="shared" si="39"/>
        <v>0</v>
      </c>
      <c r="AJ48" s="51">
        <f t="shared" si="40"/>
        <v>5</v>
      </c>
    </row>
    <row r="49" spans="1:36" x14ac:dyDescent="0.25">
      <c r="A49" s="11" t="s">
        <v>44</v>
      </c>
      <c r="B49" s="50">
        <v>2</v>
      </c>
      <c r="C49" s="51"/>
      <c r="D49" s="51"/>
      <c r="E49" s="51"/>
      <c r="F49" s="51">
        <f t="shared" si="31"/>
        <v>2</v>
      </c>
      <c r="H49" s="50">
        <v>2</v>
      </c>
      <c r="I49" s="51"/>
      <c r="J49" s="51"/>
      <c r="K49" s="51"/>
      <c r="L49" s="51">
        <f t="shared" si="32"/>
        <v>2</v>
      </c>
      <c r="N49" s="50">
        <v>4</v>
      </c>
      <c r="O49" s="51"/>
      <c r="P49" s="51"/>
      <c r="Q49" s="51"/>
      <c r="R49" s="51">
        <f t="shared" si="33"/>
        <v>4</v>
      </c>
      <c r="T49" s="50">
        <v>1</v>
      </c>
      <c r="U49" s="51"/>
      <c r="V49" s="51"/>
      <c r="W49" s="51"/>
      <c r="X49" s="51">
        <f t="shared" si="34"/>
        <v>1</v>
      </c>
      <c r="Z49" s="50"/>
      <c r="AA49" s="51"/>
      <c r="AB49" s="51"/>
      <c r="AC49" s="51"/>
      <c r="AD49" s="51">
        <f t="shared" si="35"/>
        <v>0</v>
      </c>
      <c r="AF49" s="50">
        <f t="shared" si="36"/>
        <v>9</v>
      </c>
      <c r="AG49" s="50">
        <f t="shared" si="37"/>
        <v>0</v>
      </c>
      <c r="AH49" s="50">
        <f t="shared" si="38"/>
        <v>0</v>
      </c>
      <c r="AI49" s="50">
        <f t="shared" si="39"/>
        <v>0</v>
      </c>
      <c r="AJ49" s="51">
        <f t="shared" si="40"/>
        <v>9</v>
      </c>
    </row>
    <row r="50" spans="1:36" x14ac:dyDescent="0.25">
      <c r="A50" s="11" t="s">
        <v>45</v>
      </c>
      <c r="B50" s="51">
        <v>11</v>
      </c>
      <c r="C50" s="51">
        <v>5</v>
      </c>
      <c r="D50" s="51"/>
      <c r="E50" s="51"/>
      <c r="F50" s="51">
        <f t="shared" si="31"/>
        <v>16</v>
      </c>
      <c r="H50" s="51">
        <v>11</v>
      </c>
      <c r="I50" s="51">
        <v>5.5</v>
      </c>
      <c r="J50" s="51"/>
      <c r="K50" s="51"/>
      <c r="L50" s="51">
        <f t="shared" si="32"/>
        <v>16.5</v>
      </c>
      <c r="N50" s="51">
        <v>13</v>
      </c>
      <c r="O50" s="51">
        <v>13</v>
      </c>
      <c r="P50" s="51"/>
      <c r="Q50" s="51"/>
      <c r="R50" s="51">
        <f t="shared" si="33"/>
        <v>26</v>
      </c>
      <c r="T50" s="51">
        <v>5</v>
      </c>
      <c r="U50" s="51">
        <v>3</v>
      </c>
      <c r="V50" s="51"/>
      <c r="W50" s="51"/>
      <c r="X50" s="51">
        <f t="shared" si="34"/>
        <v>8</v>
      </c>
      <c r="Z50" s="51">
        <v>2</v>
      </c>
      <c r="AA50" s="51"/>
      <c r="AB50" s="51"/>
      <c r="AC50" s="51">
        <v>20</v>
      </c>
      <c r="AD50" s="51">
        <f t="shared" si="35"/>
        <v>22</v>
      </c>
      <c r="AF50" s="50">
        <f t="shared" si="36"/>
        <v>42</v>
      </c>
      <c r="AG50" s="50">
        <f t="shared" si="37"/>
        <v>26.5</v>
      </c>
      <c r="AH50" s="50">
        <f t="shared" si="38"/>
        <v>0</v>
      </c>
      <c r="AI50" s="50">
        <f t="shared" si="39"/>
        <v>20</v>
      </c>
      <c r="AJ50" s="51">
        <f t="shared" si="40"/>
        <v>88.5</v>
      </c>
    </row>
    <row r="51" spans="1:36" x14ac:dyDescent="0.25">
      <c r="A51" s="11" t="s">
        <v>46</v>
      </c>
      <c r="B51" s="51">
        <v>4</v>
      </c>
      <c r="C51" s="51"/>
      <c r="D51" s="51"/>
      <c r="E51" s="51"/>
      <c r="F51" s="51">
        <f t="shared" si="31"/>
        <v>4</v>
      </c>
      <c r="H51" s="51">
        <v>3</v>
      </c>
      <c r="I51" s="51"/>
      <c r="J51" s="51"/>
      <c r="K51" s="51"/>
      <c r="L51" s="51">
        <f t="shared" si="32"/>
        <v>3</v>
      </c>
      <c r="N51" s="51">
        <v>12</v>
      </c>
      <c r="O51" s="51"/>
      <c r="P51" s="51"/>
      <c r="Q51" s="51"/>
      <c r="R51" s="51">
        <f t="shared" si="33"/>
        <v>12</v>
      </c>
      <c r="T51" s="51">
        <v>1.5</v>
      </c>
      <c r="U51" s="51"/>
      <c r="V51" s="51"/>
      <c r="W51" s="51"/>
      <c r="X51" s="51">
        <f t="shared" si="34"/>
        <v>1.5</v>
      </c>
      <c r="Z51" s="51">
        <v>1</v>
      </c>
      <c r="AA51" s="51"/>
      <c r="AB51" s="51"/>
      <c r="AC51" s="51"/>
      <c r="AD51" s="51">
        <f t="shared" si="35"/>
        <v>1</v>
      </c>
      <c r="AF51" s="50">
        <f t="shared" si="36"/>
        <v>21.5</v>
      </c>
      <c r="AG51" s="50">
        <f t="shared" si="37"/>
        <v>0</v>
      </c>
      <c r="AH51" s="50">
        <f t="shared" si="38"/>
        <v>0</v>
      </c>
      <c r="AI51" s="50">
        <f t="shared" si="39"/>
        <v>0</v>
      </c>
      <c r="AJ51" s="51">
        <f t="shared" si="40"/>
        <v>21.5</v>
      </c>
    </row>
    <row r="52" spans="1:36" x14ac:dyDescent="0.25">
      <c r="A52" s="11" t="s">
        <v>47</v>
      </c>
      <c r="B52" s="51"/>
      <c r="C52" s="51"/>
      <c r="D52" s="51">
        <v>3</v>
      </c>
      <c r="E52" s="51"/>
      <c r="F52" s="51">
        <f t="shared" si="31"/>
        <v>3</v>
      </c>
      <c r="H52" s="51"/>
      <c r="I52" s="51"/>
      <c r="J52" s="51">
        <v>3</v>
      </c>
      <c r="K52" s="51"/>
      <c r="L52" s="51">
        <f t="shared" si="32"/>
        <v>3</v>
      </c>
      <c r="N52" s="51"/>
      <c r="O52" s="51"/>
      <c r="P52" s="51">
        <v>9</v>
      </c>
      <c r="Q52" s="51"/>
      <c r="R52" s="51">
        <f t="shared" si="33"/>
        <v>9</v>
      </c>
      <c r="T52" s="51"/>
      <c r="U52" s="51"/>
      <c r="V52" s="51"/>
      <c r="W52" s="51"/>
      <c r="X52" s="51">
        <f t="shared" si="34"/>
        <v>0</v>
      </c>
      <c r="Z52" s="51">
        <v>0</v>
      </c>
      <c r="AA52" s="51"/>
      <c r="AB52" s="51">
        <v>1</v>
      </c>
      <c r="AC52" s="51"/>
      <c r="AD52" s="51">
        <f t="shared" si="35"/>
        <v>1</v>
      </c>
      <c r="AF52" s="50">
        <f t="shared" si="36"/>
        <v>0</v>
      </c>
      <c r="AG52" s="50">
        <f t="shared" si="37"/>
        <v>0</v>
      </c>
      <c r="AH52" s="50">
        <f t="shared" si="38"/>
        <v>16</v>
      </c>
      <c r="AI52" s="50">
        <f t="shared" si="39"/>
        <v>0</v>
      </c>
      <c r="AJ52" s="51">
        <f t="shared" si="40"/>
        <v>16</v>
      </c>
    </row>
    <row r="53" spans="1:36" x14ac:dyDescent="0.25">
      <c r="A53" s="11" t="s">
        <v>48</v>
      </c>
      <c r="B53" s="51"/>
      <c r="C53" s="51"/>
      <c r="D53" s="51"/>
      <c r="E53" s="51"/>
      <c r="F53" s="51">
        <f t="shared" si="31"/>
        <v>0</v>
      </c>
      <c r="H53" s="51"/>
      <c r="I53" s="51"/>
      <c r="J53" s="51"/>
      <c r="K53" s="51"/>
      <c r="L53" s="51">
        <f t="shared" si="32"/>
        <v>0</v>
      </c>
      <c r="N53" s="51"/>
      <c r="O53" s="51"/>
      <c r="P53" s="51"/>
      <c r="Q53" s="51"/>
      <c r="R53" s="51">
        <f t="shared" si="33"/>
        <v>0</v>
      </c>
      <c r="T53" s="51"/>
      <c r="U53" s="51"/>
      <c r="V53" s="51"/>
      <c r="W53" s="51"/>
      <c r="X53" s="51">
        <f t="shared" si="34"/>
        <v>0</v>
      </c>
      <c r="Z53" s="51"/>
      <c r="AA53" s="51"/>
      <c r="AB53" s="51"/>
      <c r="AC53" s="51"/>
      <c r="AD53" s="51">
        <f t="shared" si="35"/>
        <v>0</v>
      </c>
      <c r="AF53" s="50">
        <f t="shared" si="36"/>
        <v>0</v>
      </c>
      <c r="AG53" s="50">
        <f t="shared" si="37"/>
        <v>0</v>
      </c>
      <c r="AH53" s="50">
        <f t="shared" si="38"/>
        <v>0</v>
      </c>
      <c r="AI53" s="50">
        <f t="shared" si="39"/>
        <v>0</v>
      </c>
      <c r="AJ53" s="51">
        <f t="shared" si="40"/>
        <v>0</v>
      </c>
    </row>
    <row r="54" spans="1:36" x14ac:dyDescent="0.25">
      <c r="A54" s="14" t="s">
        <v>49</v>
      </c>
      <c r="B54" s="51">
        <v>0.5</v>
      </c>
      <c r="C54" s="51">
        <v>1</v>
      </c>
      <c r="D54" s="51"/>
      <c r="E54" s="51"/>
      <c r="F54" s="51">
        <f t="shared" si="31"/>
        <v>1.5</v>
      </c>
      <c r="H54" s="51"/>
      <c r="I54" s="51">
        <v>1</v>
      </c>
      <c r="J54" s="51"/>
      <c r="K54" s="51"/>
      <c r="L54" s="51">
        <f t="shared" si="32"/>
        <v>1</v>
      </c>
      <c r="N54" s="51"/>
      <c r="O54" s="51">
        <v>1</v>
      </c>
      <c r="P54" s="51"/>
      <c r="Q54" s="51"/>
      <c r="R54" s="51">
        <f t="shared" si="33"/>
        <v>1</v>
      </c>
      <c r="T54" s="51"/>
      <c r="U54" s="51"/>
      <c r="V54" s="51"/>
      <c r="W54" s="51"/>
      <c r="X54" s="51">
        <f t="shared" si="34"/>
        <v>0</v>
      </c>
      <c r="Z54" s="51"/>
      <c r="AA54" s="51"/>
      <c r="AB54" s="51"/>
      <c r="AC54" s="51"/>
      <c r="AD54" s="51">
        <f t="shared" si="35"/>
        <v>0</v>
      </c>
      <c r="AF54" s="50">
        <f t="shared" si="36"/>
        <v>0.5</v>
      </c>
      <c r="AG54" s="50">
        <f t="shared" si="37"/>
        <v>3</v>
      </c>
      <c r="AH54" s="50">
        <f t="shared" si="38"/>
        <v>0</v>
      </c>
      <c r="AI54" s="50">
        <f t="shared" si="39"/>
        <v>0</v>
      </c>
      <c r="AJ54" s="51">
        <f t="shared" si="40"/>
        <v>3.5</v>
      </c>
    </row>
    <row r="55" spans="1:36" x14ac:dyDescent="0.25">
      <c r="A55" s="14" t="s">
        <v>50</v>
      </c>
      <c r="B55" s="51"/>
      <c r="C55" s="51">
        <v>1</v>
      </c>
      <c r="D55" s="51"/>
      <c r="E55" s="51"/>
      <c r="F55" s="51">
        <f t="shared" si="31"/>
        <v>1</v>
      </c>
      <c r="H55" s="51"/>
      <c r="I55" s="51">
        <v>1</v>
      </c>
      <c r="J55" s="51"/>
      <c r="K55" s="51"/>
      <c r="L55" s="51">
        <f t="shared" si="32"/>
        <v>1</v>
      </c>
      <c r="N55" s="51"/>
      <c r="O55" s="51">
        <v>1</v>
      </c>
      <c r="P55" s="51"/>
      <c r="Q55" s="51"/>
      <c r="R55" s="51">
        <f t="shared" si="33"/>
        <v>1</v>
      </c>
      <c r="T55" s="51"/>
      <c r="U55" s="51"/>
      <c r="V55" s="51"/>
      <c r="W55" s="51"/>
      <c r="X55" s="51">
        <f t="shared" si="34"/>
        <v>0</v>
      </c>
      <c r="Z55" s="51"/>
      <c r="AA55" s="51"/>
      <c r="AB55" s="51"/>
      <c r="AC55" s="51"/>
      <c r="AD55" s="51">
        <f t="shared" si="35"/>
        <v>0</v>
      </c>
      <c r="AF55" s="50">
        <f t="shared" si="36"/>
        <v>0</v>
      </c>
      <c r="AG55" s="50">
        <f t="shared" si="37"/>
        <v>3</v>
      </c>
      <c r="AH55" s="50">
        <f t="shared" si="38"/>
        <v>0</v>
      </c>
      <c r="AI55" s="50">
        <f t="shared" si="39"/>
        <v>0</v>
      </c>
      <c r="AJ55" s="51">
        <f t="shared" si="40"/>
        <v>3</v>
      </c>
    </row>
    <row r="56" spans="1:36" x14ac:dyDescent="0.25">
      <c r="A56" s="14" t="s">
        <v>51</v>
      </c>
      <c r="B56" s="51"/>
      <c r="C56" s="51">
        <v>0.5</v>
      </c>
      <c r="D56" s="51"/>
      <c r="E56" s="51"/>
      <c r="F56" s="51">
        <f t="shared" si="31"/>
        <v>0.5</v>
      </c>
      <c r="H56" s="51"/>
      <c r="I56" s="51">
        <v>0.5</v>
      </c>
      <c r="J56" s="51"/>
      <c r="K56" s="51"/>
      <c r="L56" s="51">
        <f t="shared" si="32"/>
        <v>0.5</v>
      </c>
      <c r="N56" s="51"/>
      <c r="O56" s="51">
        <v>1</v>
      </c>
      <c r="P56" s="51"/>
      <c r="Q56" s="51"/>
      <c r="R56" s="51">
        <f t="shared" si="33"/>
        <v>1</v>
      </c>
      <c r="T56" s="51"/>
      <c r="U56" s="51"/>
      <c r="V56" s="51"/>
      <c r="W56" s="51"/>
      <c r="X56" s="51">
        <f t="shared" si="34"/>
        <v>0</v>
      </c>
      <c r="Z56" s="51"/>
      <c r="AA56" s="51">
        <v>2</v>
      </c>
      <c r="AB56" s="51"/>
      <c r="AC56" s="51"/>
      <c r="AD56" s="51">
        <f t="shared" si="35"/>
        <v>2</v>
      </c>
      <c r="AF56" s="50">
        <f t="shared" si="36"/>
        <v>0</v>
      </c>
      <c r="AG56" s="50">
        <f t="shared" si="37"/>
        <v>4</v>
      </c>
      <c r="AH56" s="50">
        <f t="shared" si="38"/>
        <v>0</v>
      </c>
      <c r="AI56" s="50">
        <f t="shared" si="39"/>
        <v>0</v>
      </c>
      <c r="AJ56" s="51">
        <f t="shared" si="40"/>
        <v>4</v>
      </c>
    </row>
    <row r="57" spans="1:36" x14ac:dyDescent="0.25">
      <c r="A57" s="14" t="s">
        <v>52</v>
      </c>
      <c r="B57" s="51"/>
      <c r="C57" s="51"/>
      <c r="D57" s="51"/>
      <c r="E57" s="51"/>
      <c r="F57" s="51">
        <f t="shared" si="31"/>
        <v>0</v>
      </c>
      <c r="H57" s="51"/>
      <c r="I57" s="51"/>
      <c r="J57" s="51"/>
      <c r="K57" s="51"/>
      <c r="L57" s="51">
        <f t="shared" si="32"/>
        <v>0</v>
      </c>
      <c r="N57" s="51"/>
      <c r="O57" s="51"/>
      <c r="P57" s="51"/>
      <c r="Q57" s="51"/>
      <c r="R57" s="51">
        <f t="shared" si="33"/>
        <v>0</v>
      </c>
      <c r="T57" s="51"/>
      <c r="U57" s="51"/>
      <c r="V57" s="51"/>
      <c r="W57" s="51"/>
      <c r="X57" s="51">
        <f t="shared" si="34"/>
        <v>0</v>
      </c>
      <c r="Z57" s="51"/>
      <c r="AA57" s="51"/>
      <c r="AB57" s="51"/>
      <c r="AC57" s="51"/>
      <c r="AD57" s="51">
        <f t="shared" si="35"/>
        <v>0</v>
      </c>
      <c r="AF57" s="50">
        <f t="shared" si="36"/>
        <v>0</v>
      </c>
      <c r="AG57" s="50">
        <f t="shared" si="37"/>
        <v>0</v>
      </c>
      <c r="AH57" s="50">
        <f t="shared" si="38"/>
        <v>0</v>
      </c>
      <c r="AI57" s="50">
        <f t="shared" si="39"/>
        <v>0</v>
      </c>
      <c r="AJ57" s="51">
        <f t="shared" si="40"/>
        <v>0</v>
      </c>
    </row>
    <row r="58" spans="1:36" x14ac:dyDescent="0.25">
      <c r="A58" s="14" t="s">
        <v>53</v>
      </c>
      <c r="B58" s="51"/>
      <c r="C58" s="51"/>
      <c r="D58" s="51"/>
      <c r="E58" s="51"/>
      <c r="F58" s="51">
        <f t="shared" si="31"/>
        <v>0</v>
      </c>
      <c r="H58" s="51"/>
      <c r="I58" s="51"/>
      <c r="J58" s="51"/>
      <c r="K58" s="51"/>
      <c r="L58" s="51">
        <f t="shared" si="32"/>
        <v>0</v>
      </c>
      <c r="N58" s="51">
        <v>1</v>
      </c>
      <c r="O58" s="51"/>
      <c r="P58" s="51"/>
      <c r="Q58" s="51"/>
      <c r="R58" s="51">
        <f t="shared" si="33"/>
        <v>1</v>
      </c>
      <c r="T58" s="51"/>
      <c r="U58" s="51"/>
      <c r="V58" s="51"/>
      <c r="W58" s="51"/>
      <c r="X58" s="51">
        <f t="shared" si="34"/>
        <v>0</v>
      </c>
      <c r="Z58" s="51"/>
      <c r="AA58" s="51"/>
      <c r="AB58" s="51"/>
      <c r="AC58" s="51"/>
      <c r="AD58" s="51">
        <f t="shared" si="35"/>
        <v>0</v>
      </c>
      <c r="AF58" s="50">
        <f t="shared" si="36"/>
        <v>1</v>
      </c>
      <c r="AG58" s="50">
        <f t="shared" si="37"/>
        <v>0</v>
      </c>
      <c r="AH58" s="50">
        <f t="shared" si="38"/>
        <v>0</v>
      </c>
      <c r="AI58" s="50">
        <f t="shared" si="39"/>
        <v>0</v>
      </c>
      <c r="AJ58" s="51">
        <f t="shared" si="40"/>
        <v>1</v>
      </c>
    </row>
    <row r="59" spans="1:36" x14ac:dyDescent="0.25">
      <c r="A59" s="14" t="s">
        <v>54</v>
      </c>
      <c r="B59" s="51">
        <v>2</v>
      </c>
      <c r="C59" s="51"/>
      <c r="D59" s="51"/>
      <c r="E59" s="51"/>
      <c r="F59" s="51">
        <f t="shared" si="31"/>
        <v>2</v>
      </c>
      <c r="H59" s="51">
        <v>1</v>
      </c>
      <c r="I59" s="51"/>
      <c r="J59" s="51"/>
      <c r="K59" s="51"/>
      <c r="L59" s="51">
        <f t="shared" si="32"/>
        <v>1</v>
      </c>
      <c r="N59" s="51">
        <v>3</v>
      </c>
      <c r="O59" s="51"/>
      <c r="P59" s="51"/>
      <c r="Q59" s="51"/>
      <c r="R59" s="51">
        <f t="shared" si="33"/>
        <v>3</v>
      </c>
      <c r="T59" s="51"/>
      <c r="U59" s="51"/>
      <c r="V59" s="51"/>
      <c r="W59" s="51"/>
      <c r="X59" s="51">
        <f t="shared" si="34"/>
        <v>0</v>
      </c>
      <c r="Z59" s="51"/>
      <c r="AA59" s="51"/>
      <c r="AB59" s="51"/>
      <c r="AC59" s="51"/>
      <c r="AD59" s="51">
        <f t="shared" si="35"/>
        <v>0</v>
      </c>
      <c r="AF59" s="50">
        <f t="shared" si="36"/>
        <v>6</v>
      </c>
      <c r="AG59" s="50">
        <f t="shared" si="37"/>
        <v>0</v>
      </c>
      <c r="AH59" s="50">
        <f t="shared" si="38"/>
        <v>0</v>
      </c>
      <c r="AI59" s="50">
        <f t="shared" si="39"/>
        <v>0</v>
      </c>
      <c r="AJ59" s="51">
        <f t="shared" si="40"/>
        <v>6</v>
      </c>
    </row>
    <row r="60" spans="1:36" x14ac:dyDescent="0.25">
      <c r="A60" s="11" t="s">
        <v>55</v>
      </c>
      <c r="B60" s="50">
        <v>1</v>
      </c>
      <c r="C60" s="50"/>
      <c r="D60" s="50"/>
      <c r="E60" s="50"/>
      <c r="F60" s="51">
        <f t="shared" si="31"/>
        <v>1</v>
      </c>
      <c r="H60" s="50">
        <v>1</v>
      </c>
      <c r="I60" s="50"/>
      <c r="J60" s="50"/>
      <c r="K60" s="50"/>
      <c r="L60" s="51">
        <f t="shared" si="32"/>
        <v>1</v>
      </c>
      <c r="N60" s="50">
        <v>1</v>
      </c>
      <c r="O60" s="50"/>
      <c r="P60" s="50"/>
      <c r="Q60" s="50"/>
      <c r="R60" s="51">
        <f t="shared" si="33"/>
        <v>1</v>
      </c>
      <c r="T60" s="50"/>
      <c r="U60" s="50"/>
      <c r="V60" s="50"/>
      <c r="W60" s="50"/>
      <c r="X60" s="51">
        <f t="shared" si="34"/>
        <v>0</v>
      </c>
      <c r="Z60" s="50"/>
      <c r="AA60" s="50"/>
      <c r="AB60" s="50"/>
      <c r="AC60" s="50"/>
      <c r="AD60" s="51">
        <f t="shared" si="35"/>
        <v>0</v>
      </c>
      <c r="AF60" s="50">
        <f t="shared" si="36"/>
        <v>3</v>
      </c>
      <c r="AG60" s="50">
        <f t="shared" si="37"/>
        <v>0</v>
      </c>
      <c r="AH60" s="50">
        <f t="shared" si="38"/>
        <v>0</v>
      </c>
      <c r="AI60" s="50">
        <f t="shared" si="39"/>
        <v>0</v>
      </c>
      <c r="AJ60" s="51">
        <f t="shared" si="40"/>
        <v>3</v>
      </c>
    </row>
    <row r="61" spans="1:36" x14ac:dyDescent="0.25">
      <c r="A61" s="9" t="s">
        <v>56</v>
      </c>
      <c r="B61" s="52">
        <f t="shared" ref="B61:E61" si="41">SUM(B39:B60)</f>
        <v>35.5</v>
      </c>
      <c r="C61" s="52">
        <f t="shared" si="41"/>
        <v>7.5</v>
      </c>
      <c r="D61" s="52">
        <f t="shared" si="41"/>
        <v>3</v>
      </c>
      <c r="E61" s="52">
        <f t="shared" si="41"/>
        <v>0</v>
      </c>
      <c r="F61" s="52">
        <f t="shared" ref="F61" si="42">SUM(F39:F60)</f>
        <v>46</v>
      </c>
      <c r="H61" s="52">
        <f t="shared" ref="H61:L61" si="43">SUM(H39:H60)</f>
        <v>32.5</v>
      </c>
      <c r="I61" s="52">
        <f t="shared" si="43"/>
        <v>8</v>
      </c>
      <c r="J61" s="52">
        <f t="shared" si="43"/>
        <v>3</v>
      </c>
      <c r="K61" s="52">
        <f t="shared" si="43"/>
        <v>0</v>
      </c>
      <c r="L61" s="52">
        <f t="shared" si="43"/>
        <v>43.5</v>
      </c>
      <c r="N61" s="52">
        <f t="shared" ref="N61:R61" si="44">SUM(N39:N60)</f>
        <v>58</v>
      </c>
      <c r="O61" s="52">
        <f t="shared" si="44"/>
        <v>16</v>
      </c>
      <c r="P61" s="52">
        <f t="shared" si="44"/>
        <v>9</v>
      </c>
      <c r="Q61" s="52">
        <f t="shared" si="44"/>
        <v>0</v>
      </c>
      <c r="R61" s="52">
        <f t="shared" si="44"/>
        <v>83</v>
      </c>
      <c r="T61" s="52">
        <f t="shared" ref="T61:X61" si="45">SUM(T39:T60)</f>
        <v>11.5</v>
      </c>
      <c r="U61" s="52">
        <f t="shared" si="45"/>
        <v>3</v>
      </c>
      <c r="V61" s="52">
        <f t="shared" si="45"/>
        <v>0</v>
      </c>
      <c r="W61" s="52">
        <f t="shared" si="45"/>
        <v>0</v>
      </c>
      <c r="X61" s="52">
        <f t="shared" si="45"/>
        <v>14.5</v>
      </c>
      <c r="Z61" s="52">
        <f t="shared" ref="Z61:AD61" si="46">SUM(Z39:Z60)</f>
        <v>5</v>
      </c>
      <c r="AA61" s="52">
        <f t="shared" si="46"/>
        <v>3</v>
      </c>
      <c r="AB61" s="52">
        <f t="shared" si="46"/>
        <v>1</v>
      </c>
      <c r="AC61" s="52">
        <f t="shared" si="46"/>
        <v>27</v>
      </c>
      <c r="AD61" s="52">
        <f t="shared" si="46"/>
        <v>36</v>
      </c>
      <c r="AF61" s="52">
        <f t="shared" ref="AF61:AJ61" si="47">SUM(AF39:AF60)</f>
        <v>142.5</v>
      </c>
      <c r="AG61" s="52">
        <f t="shared" si="47"/>
        <v>37.5</v>
      </c>
      <c r="AH61" s="52">
        <f t="shared" si="47"/>
        <v>16</v>
      </c>
      <c r="AI61" s="52">
        <f t="shared" si="47"/>
        <v>27</v>
      </c>
      <c r="AJ61" s="52">
        <f t="shared" si="47"/>
        <v>223</v>
      </c>
    </row>
    <row r="62" spans="1:36" ht="16.5" thickBot="1" x14ac:dyDescent="0.3">
      <c r="A62" s="15"/>
      <c r="B62" s="53"/>
      <c r="C62" s="53"/>
      <c r="D62" s="53"/>
      <c r="E62" s="53"/>
      <c r="F62" s="53"/>
      <c r="H62" s="53"/>
      <c r="I62" s="53"/>
      <c r="J62" s="53"/>
      <c r="K62" s="53"/>
      <c r="L62" s="53"/>
      <c r="N62" s="53"/>
      <c r="O62" s="53"/>
      <c r="P62" s="53"/>
      <c r="Q62" s="53"/>
      <c r="R62" s="53"/>
      <c r="T62" s="53"/>
      <c r="U62" s="53"/>
      <c r="V62" s="53"/>
      <c r="W62" s="53"/>
      <c r="X62" s="53"/>
      <c r="Z62" s="53"/>
      <c r="AA62" s="53"/>
      <c r="AB62" s="53"/>
      <c r="AC62" s="53"/>
      <c r="AD62" s="53"/>
      <c r="AF62" s="53"/>
      <c r="AG62" s="53"/>
      <c r="AH62" s="53"/>
      <c r="AI62" s="53"/>
      <c r="AJ62" s="53"/>
    </row>
    <row r="63" spans="1:36" x14ac:dyDescent="0.25">
      <c r="A63" s="16" t="s">
        <v>57</v>
      </c>
      <c r="B63" s="54">
        <f>B36+B41+B43+B50</f>
        <v>59</v>
      </c>
      <c r="C63" s="54">
        <f t="shared" ref="C63:E63" si="48">C36+C41+C43+C50</f>
        <v>10</v>
      </c>
      <c r="D63" s="54">
        <f t="shared" si="48"/>
        <v>0</v>
      </c>
      <c r="E63" s="54">
        <f t="shared" si="48"/>
        <v>0</v>
      </c>
      <c r="F63" s="54">
        <f t="shared" ref="F63" si="49">F36+F41+F43+F50</f>
        <v>69</v>
      </c>
      <c r="H63" s="54">
        <f>H36+H41+H43+H50</f>
        <v>58.5</v>
      </c>
      <c r="I63" s="54">
        <f t="shared" ref="I63:L63" si="50">I36+I41+I43+I50</f>
        <v>9.5</v>
      </c>
      <c r="J63" s="54">
        <f t="shared" si="50"/>
        <v>0</v>
      </c>
      <c r="K63" s="54">
        <f t="shared" si="50"/>
        <v>0</v>
      </c>
      <c r="L63" s="54">
        <f t="shared" si="50"/>
        <v>68</v>
      </c>
      <c r="N63" s="54">
        <f>N36+N41+N43+N50</f>
        <v>118</v>
      </c>
      <c r="O63" s="54">
        <f t="shared" ref="O63:R63" si="51">O36+O41+O43+O50</f>
        <v>26</v>
      </c>
      <c r="P63" s="54">
        <f t="shared" si="51"/>
        <v>0</v>
      </c>
      <c r="Q63" s="54">
        <f t="shared" si="51"/>
        <v>0</v>
      </c>
      <c r="R63" s="54">
        <f t="shared" si="51"/>
        <v>144</v>
      </c>
      <c r="T63" s="54">
        <f>T36+T41+T43+T50</f>
        <v>27</v>
      </c>
      <c r="U63" s="54">
        <f t="shared" ref="U63:X63" si="52">U36+U41+U43+U50</f>
        <v>6</v>
      </c>
      <c r="V63" s="54">
        <f t="shared" si="52"/>
        <v>0</v>
      </c>
      <c r="W63" s="54">
        <f t="shared" si="52"/>
        <v>0</v>
      </c>
      <c r="X63" s="54">
        <f t="shared" si="52"/>
        <v>33</v>
      </c>
      <c r="Z63" s="54">
        <f>Z36+Z41+Z43+Z50</f>
        <v>2</v>
      </c>
      <c r="AA63" s="54">
        <f t="shared" ref="AA63:AD63" si="53">AA36+AA41+AA43+AA50</f>
        <v>0</v>
      </c>
      <c r="AB63" s="54">
        <f t="shared" si="53"/>
        <v>0</v>
      </c>
      <c r="AC63" s="54">
        <f t="shared" si="53"/>
        <v>25</v>
      </c>
      <c r="AD63" s="54">
        <f t="shared" si="53"/>
        <v>27</v>
      </c>
      <c r="AF63" s="54">
        <f>AF36+AF41+AF43+AF50</f>
        <v>264.5</v>
      </c>
      <c r="AG63" s="54">
        <f t="shared" ref="AG63:AJ63" si="54">AG36+AG41+AG43+AG50</f>
        <v>51.5</v>
      </c>
      <c r="AH63" s="54">
        <f t="shared" si="54"/>
        <v>0</v>
      </c>
      <c r="AI63" s="54">
        <f t="shared" si="54"/>
        <v>25</v>
      </c>
      <c r="AJ63" s="54">
        <f t="shared" si="54"/>
        <v>341</v>
      </c>
    </row>
    <row r="64" spans="1:36" x14ac:dyDescent="0.25">
      <c r="A64" s="17" t="s">
        <v>58</v>
      </c>
      <c r="B64" s="55">
        <f>B61-B41-B43-B50</f>
        <v>21.5</v>
      </c>
      <c r="C64" s="55">
        <f>C61-C41-C43-C50</f>
        <v>2.5</v>
      </c>
      <c r="D64" s="55">
        <f t="shared" ref="D64:E64" si="55">D61-D41-D43-D50</f>
        <v>3</v>
      </c>
      <c r="E64" s="55">
        <f t="shared" si="55"/>
        <v>0</v>
      </c>
      <c r="F64" s="55">
        <f t="shared" ref="F64" si="56">F61-F41-F43-F50</f>
        <v>27</v>
      </c>
      <c r="H64" s="55">
        <f>H61-H41-H43-H50</f>
        <v>19</v>
      </c>
      <c r="I64" s="55">
        <f>I61-I41-I43-I50</f>
        <v>2.5</v>
      </c>
      <c r="J64" s="55">
        <f t="shared" ref="J64:L64" si="57">J61-J41-J43-J50</f>
        <v>3</v>
      </c>
      <c r="K64" s="55">
        <f t="shared" si="57"/>
        <v>0</v>
      </c>
      <c r="L64" s="55">
        <f t="shared" si="57"/>
        <v>24.5</v>
      </c>
      <c r="N64" s="55">
        <f>N61-N41-N43-N50</f>
        <v>40</v>
      </c>
      <c r="O64" s="55">
        <f>O61-O41-O43-O50</f>
        <v>3</v>
      </c>
      <c r="P64" s="55">
        <f t="shared" ref="P64:R64" si="58">P61-P41-P43-P50</f>
        <v>9</v>
      </c>
      <c r="Q64" s="55">
        <f t="shared" si="58"/>
        <v>0</v>
      </c>
      <c r="R64" s="55">
        <f t="shared" si="58"/>
        <v>52</v>
      </c>
      <c r="T64" s="55">
        <f>T61-T41-T43-T50</f>
        <v>5.5</v>
      </c>
      <c r="U64" s="55">
        <f>U61-U41-U43-U50</f>
        <v>0</v>
      </c>
      <c r="V64" s="55">
        <f t="shared" ref="V64:X64" si="59">V61-V41-V43-V50</f>
        <v>0</v>
      </c>
      <c r="W64" s="55">
        <f t="shared" si="59"/>
        <v>0</v>
      </c>
      <c r="X64" s="55">
        <f t="shared" si="59"/>
        <v>5.5</v>
      </c>
      <c r="Z64" s="55">
        <f>Z61-Z41-Z43-Z50</f>
        <v>3</v>
      </c>
      <c r="AA64" s="55">
        <f>AA61-AA41-AA43-AA50</f>
        <v>3</v>
      </c>
      <c r="AB64" s="55">
        <f t="shared" ref="AB64:AD64" si="60">AB61-AB41-AB43-AB50</f>
        <v>1</v>
      </c>
      <c r="AC64" s="55">
        <f t="shared" si="60"/>
        <v>2</v>
      </c>
      <c r="AD64" s="55">
        <f t="shared" si="60"/>
        <v>9</v>
      </c>
      <c r="AF64" s="55">
        <f>AF61-AF41-AF43-AF50</f>
        <v>89</v>
      </c>
      <c r="AG64" s="55">
        <f>AG61-AG41-AG43-AG50</f>
        <v>11</v>
      </c>
      <c r="AH64" s="55">
        <f t="shared" ref="AH64:AJ64" si="61">AH61-AH41-AH43-AH50</f>
        <v>16</v>
      </c>
      <c r="AI64" s="55">
        <f t="shared" si="61"/>
        <v>2</v>
      </c>
      <c r="AJ64" s="55">
        <f t="shared" si="61"/>
        <v>118</v>
      </c>
    </row>
    <row r="65" spans="1:36" ht="16.5" thickBot="1" x14ac:dyDescent="0.3">
      <c r="A65" s="18" t="s">
        <v>59</v>
      </c>
      <c r="B65" s="56">
        <f>SUM(B63:B64)</f>
        <v>80.5</v>
      </c>
      <c r="C65" s="56">
        <f t="shared" ref="C65:E65" si="62">SUM(C63:C64)</f>
        <v>12.5</v>
      </c>
      <c r="D65" s="56">
        <f t="shared" si="62"/>
        <v>3</v>
      </c>
      <c r="E65" s="56">
        <f t="shared" si="62"/>
        <v>0</v>
      </c>
      <c r="F65" s="56">
        <f t="shared" ref="F65" si="63">SUM(F63:F64)</f>
        <v>96</v>
      </c>
      <c r="H65" s="56">
        <f>SUM(H63:H64)</f>
        <v>77.5</v>
      </c>
      <c r="I65" s="56">
        <f t="shared" ref="I65:L65" si="64">SUM(I63:I64)</f>
        <v>12</v>
      </c>
      <c r="J65" s="56">
        <f t="shared" si="64"/>
        <v>3</v>
      </c>
      <c r="K65" s="56">
        <f t="shared" si="64"/>
        <v>0</v>
      </c>
      <c r="L65" s="56">
        <f t="shared" si="64"/>
        <v>92.5</v>
      </c>
      <c r="N65" s="56">
        <f>SUM(N63:N64)</f>
        <v>158</v>
      </c>
      <c r="O65" s="56">
        <f t="shared" ref="O65:R65" si="65">SUM(O63:O64)</f>
        <v>29</v>
      </c>
      <c r="P65" s="56">
        <f t="shared" si="65"/>
        <v>9</v>
      </c>
      <c r="Q65" s="56">
        <f t="shared" si="65"/>
        <v>0</v>
      </c>
      <c r="R65" s="56">
        <f t="shared" si="65"/>
        <v>196</v>
      </c>
      <c r="T65" s="56">
        <f t="shared" ref="T65:W65" si="66">SUM(T63:T64)</f>
        <v>32.5</v>
      </c>
      <c r="U65" s="56">
        <f t="shared" si="66"/>
        <v>6</v>
      </c>
      <c r="V65" s="56">
        <f t="shared" si="66"/>
        <v>0</v>
      </c>
      <c r="W65" s="56">
        <f t="shared" si="66"/>
        <v>0</v>
      </c>
      <c r="X65" s="56">
        <f t="shared" ref="X65" si="67">SUM(X63:X64)</f>
        <v>38.5</v>
      </c>
      <c r="Z65" s="56">
        <f>SUM(Z63:Z64)</f>
        <v>5</v>
      </c>
      <c r="AA65" s="56">
        <f t="shared" ref="AA65:AD65" si="68">SUM(AA63:AA64)</f>
        <v>3</v>
      </c>
      <c r="AB65" s="56">
        <f t="shared" si="68"/>
        <v>1</v>
      </c>
      <c r="AC65" s="56">
        <f t="shared" si="68"/>
        <v>27</v>
      </c>
      <c r="AD65" s="56">
        <f t="shared" si="68"/>
        <v>36</v>
      </c>
      <c r="AF65" s="56">
        <f>SUM(AF63:AF64)</f>
        <v>353.5</v>
      </c>
      <c r="AG65" s="56">
        <f t="shared" ref="AG65:AJ65" si="69">SUM(AG63:AG64)</f>
        <v>62.5</v>
      </c>
      <c r="AH65" s="56">
        <f t="shared" si="69"/>
        <v>16</v>
      </c>
      <c r="AI65" s="56">
        <f t="shared" si="69"/>
        <v>27</v>
      </c>
      <c r="AJ65" s="56">
        <f t="shared" si="69"/>
        <v>459</v>
      </c>
    </row>
    <row r="66" spans="1:36" ht="16.5" thickBot="1" x14ac:dyDescent="0.3">
      <c r="B66" s="57"/>
      <c r="C66" s="57"/>
      <c r="D66" s="57"/>
      <c r="E66" s="57"/>
      <c r="F66" s="57"/>
      <c r="H66" s="57"/>
      <c r="I66" s="57"/>
      <c r="J66" s="57"/>
      <c r="K66" s="57"/>
      <c r="L66" s="57"/>
      <c r="N66" s="57"/>
      <c r="O66" s="57"/>
      <c r="P66" s="57"/>
      <c r="Q66" s="57"/>
      <c r="R66" s="57"/>
      <c r="T66" s="57"/>
      <c r="U66" s="57"/>
      <c r="V66" s="57"/>
      <c r="W66" s="57"/>
      <c r="X66" s="57"/>
      <c r="Z66" s="57"/>
      <c r="AA66" s="57"/>
      <c r="AB66" s="57"/>
      <c r="AC66" s="57"/>
      <c r="AD66" s="57"/>
      <c r="AF66" s="57"/>
      <c r="AG66" s="57"/>
      <c r="AH66" s="57"/>
      <c r="AI66" s="57"/>
      <c r="AJ66" s="57"/>
    </row>
    <row r="67" spans="1:36" ht="16.5" thickBot="1" x14ac:dyDescent="0.3">
      <c r="A67" s="19"/>
      <c r="B67" s="58" t="s">
        <v>157</v>
      </c>
      <c r="C67" s="58" t="s">
        <v>158</v>
      </c>
      <c r="D67" s="58" t="s">
        <v>159</v>
      </c>
      <c r="E67" s="59" t="str">
        <f>E20</f>
        <v>Other</v>
      </c>
      <c r="F67" s="59" t="str">
        <f>F20</f>
        <v>FY26- Mtn</v>
      </c>
      <c r="H67" s="58" t="s">
        <v>157</v>
      </c>
      <c r="I67" s="58" t="s">
        <v>158</v>
      </c>
      <c r="J67" s="58" t="s">
        <v>159</v>
      </c>
      <c r="K67" s="59" t="str">
        <f>K20</f>
        <v>Other</v>
      </c>
      <c r="L67" s="59" t="str">
        <f>L20</f>
        <v>FY26- Bon</v>
      </c>
      <c r="N67" s="58" t="s">
        <v>157</v>
      </c>
      <c r="O67" s="58" t="s">
        <v>158</v>
      </c>
      <c r="P67" s="58" t="s">
        <v>159</v>
      </c>
      <c r="Q67" s="59" t="str">
        <f>Q20</f>
        <v>Other</v>
      </c>
      <c r="R67" s="59" t="str">
        <f>R20</f>
        <v>FY26- East</v>
      </c>
      <c r="T67" s="58" t="s">
        <v>157</v>
      </c>
      <c r="U67" s="58" t="s">
        <v>158</v>
      </c>
      <c r="V67" s="58" t="s">
        <v>159</v>
      </c>
      <c r="W67" s="59" t="str">
        <f>W20</f>
        <v>Other</v>
      </c>
      <c r="X67" s="59" t="str">
        <f>X20</f>
        <v>FY26- Cactus</v>
      </c>
      <c r="Z67" s="58" t="s">
        <v>157</v>
      </c>
      <c r="AA67" s="58" t="s">
        <v>158</v>
      </c>
      <c r="AB67" s="58" t="s">
        <v>159</v>
      </c>
      <c r="AC67" s="59" t="str">
        <f>AC20</f>
        <v>Grant</v>
      </c>
      <c r="AD67" s="59" t="str">
        <f>AD20</f>
        <v>FY26 - Central</v>
      </c>
      <c r="AF67" s="58" t="s">
        <v>157</v>
      </c>
      <c r="AG67" s="58" t="s">
        <v>158</v>
      </c>
      <c r="AH67" s="58" t="s">
        <v>159</v>
      </c>
      <c r="AI67" s="59" t="str">
        <f>AI20</f>
        <v>Grant</v>
      </c>
      <c r="AJ67" s="59" t="str">
        <f>AJ20</f>
        <v>FY26- Sys</v>
      </c>
    </row>
    <row r="68" spans="1:36" x14ac:dyDescent="0.25">
      <c r="A68" s="20" t="s">
        <v>60</v>
      </c>
      <c r="B68" s="60">
        <f>B17*B2</f>
        <v>9679648</v>
      </c>
      <c r="C68" s="60"/>
      <c r="D68" s="60"/>
      <c r="E68" s="60"/>
      <c r="F68" s="60">
        <f>SUM(B68:E68)</f>
        <v>9679648</v>
      </c>
      <c r="H68" s="60">
        <f>H17*H2</f>
        <v>9679648</v>
      </c>
      <c r="I68" s="60"/>
      <c r="J68" s="60"/>
      <c r="K68" s="60"/>
      <c r="L68" s="60">
        <f>SUM(H68:K68)</f>
        <v>9679648</v>
      </c>
      <c r="N68" s="60">
        <f>N17*N2</f>
        <v>23003288</v>
      </c>
      <c r="O68" s="60"/>
      <c r="P68" s="60"/>
      <c r="Q68" s="60"/>
      <c r="R68" s="60">
        <f>SUM(N68:Q68)</f>
        <v>23003288</v>
      </c>
      <c r="T68" s="60">
        <f>T2*T17</f>
        <v>4463184</v>
      </c>
      <c r="U68" s="60"/>
      <c r="V68" s="60"/>
      <c r="W68" s="60"/>
      <c r="X68" s="60">
        <f>SUM(T68:W68)</f>
        <v>4463184</v>
      </c>
      <c r="Z68" s="60"/>
      <c r="AA68" s="60"/>
      <c r="AB68" s="60"/>
      <c r="AC68" s="60"/>
      <c r="AD68" s="60">
        <f>SUM(Z68:AC68)</f>
        <v>0</v>
      </c>
      <c r="AF68" s="60">
        <f>B68+H68+N68+T68+Z68</f>
        <v>46825768</v>
      </c>
      <c r="AG68" s="60">
        <f t="shared" ref="AG68:AI68" si="70">C68+I68+O68+U68+AA68</f>
        <v>0</v>
      </c>
      <c r="AH68" s="60">
        <f t="shared" si="70"/>
        <v>0</v>
      </c>
      <c r="AI68" s="60">
        <f t="shared" si="70"/>
        <v>0</v>
      </c>
      <c r="AJ68" s="60">
        <f>SUM(AF68:AI68)</f>
        <v>46825768</v>
      </c>
    </row>
    <row r="69" spans="1:36" x14ac:dyDescent="0.25">
      <c r="A69" s="21" t="s">
        <v>61</v>
      </c>
      <c r="B69" s="61">
        <f>B22*4235</f>
        <v>1524600</v>
      </c>
      <c r="C69" s="61"/>
      <c r="D69" s="61"/>
      <c r="E69" s="61"/>
      <c r="F69" s="60">
        <f t="shared" ref="F69:F81" si="71">SUM(B69:E69)</f>
        <v>1524600</v>
      </c>
      <c r="H69" s="61">
        <f>H22*4235</f>
        <v>1524600</v>
      </c>
      <c r="I69" s="61"/>
      <c r="J69" s="61"/>
      <c r="K69" s="61"/>
      <c r="L69" s="60">
        <f t="shared" ref="L69:L81" si="72">SUM(H69:K69)</f>
        <v>1524600</v>
      </c>
      <c r="N69" s="61">
        <f>N22*4235</f>
        <v>3129665</v>
      </c>
      <c r="O69" s="61"/>
      <c r="P69" s="61"/>
      <c r="Q69" s="61"/>
      <c r="R69" s="60">
        <f t="shared" ref="R69:R81" si="73">SUM(N69:Q69)</f>
        <v>3129665</v>
      </c>
      <c r="T69" s="61">
        <f>4235*T22</f>
        <v>271040</v>
      </c>
      <c r="U69" s="61"/>
      <c r="V69" s="61"/>
      <c r="W69" s="61"/>
      <c r="X69" s="60">
        <f t="shared" ref="X69:X81" si="74">SUM(T69:W69)</f>
        <v>271040</v>
      </c>
      <c r="Z69" s="61"/>
      <c r="AA69" s="61"/>
      <c r="AB69" s="61"/>
      <c r="AC69" s="61"/>
      <c r="AD69" s="60">
        <f t="shared" ref="AD69:AD81" si="75">SUM(Z69:AC69)</f>
        <v>0</v>
      </c>
      <c r="AF69" s="60">
        <f t="shared" ref="AF69:AF81" si="76">B69+H69+N69+T69+Z69</f>
        <v>6449905</v>
      </c>
      <c r="AG69" s="60">
        <f t="shared" ref="AG69:AG81" si="77">C69+I69+O69+U69+AA69</f>
        <v>0</v>
      </c>
      <c r="AH69" s="60">
        <f t="shared" ref="AH69:AH81" si="78">D69+J69+P69+V69+AB69</f>
        <v>0</v>
      </c>
      <c r="AI69" s="60">
        <f t="shared" ref="AI69:AI81" si="79">E69+K69+Q69+W69+AC69</f>
        <v>0</v>
      </c>
      <c r="AJ69" s="60">
        <f t="shared" ref="AJ69:AJ81" si="80">SUM(AF69:AI69)</f>
        <v>6449905</v>
      </c>
    </row>
    <row r="70" spans="1:36" x14ac:dyDescent="0.25">
      <c r="A70" s="21" t="s">
        <v>62</v>
      </c>
      <c r="B70" s="61">
        <f>B23*1130</f>
        <v>0</v>
      </c>
      <c r="C70" s="61"/>
      <c r="D70" s="61"/>
      <c r="E70" s="61"/>
      <c r="F70" s="60">
        <f t="shared" si="71"/>
        <v>0</v>
      </c>
      <c r="H70" s="61">
        <f>H23*1130</f>
        <v>0</v>
      </c>
      <c r="I70" s="61"/>
      <c r="J70" s="61"/>
      <c r="K70" s="61"/>
      <c r="L70" s="60">
        <f t="shared" si="72"/>
        <v>0</v>
      </c>
      <c r="N70" s="61">
        <f>N23*1130</f>
        <v>0</v>
      </c>
      <c r="O70" s="61"/>
      <c r="P70" s="61"/>
      <c r="Q70" s="61"/>
      <c r="R70" s="60">
        <f t="shared" si="73"/>
        <v>0</v>
      </c>
      <c r="T70" s="61">
        <f>T23*1130</f>
        <v>0</v>
      </c>
      <c r="U70" s="61"/>
      <c r="V70" s="61"/>
      <c r="W70" s="61"/>
      <c r="X70" s="60">
        <f t="shared" si="74"/>
        <v>0</v>
      </c>
      <c r="Z70" s="61"/>
      <c r="AA70" s="61"/>
      <c r="AB70" s="61"/>
      <c r="AC70" s="61"/>
      <c r="AD70" s="60">
        <f t="shared" si="75"/>
        <v>0</v>
      </c>
      <c r="AF70" s="60">
        <f t="shared" si="76"/>
        <v>0</v>
      </c>
      <c r="AG70" s="60">
        <f t="shared" si="77"/>
        <v>0</v>
      </c>
      <c r="AH70" s="60">
        <f t="shared" si="78"/>
        <v>0</v>
      </c>
      <c r="AI70" s="60">
        <f t="shared" si="79"/>
        <v>0</v>
      </c>
      <c r="AJ70" s="60">
        <f t="shared" si="80"/>
        <v>0</v>
      </c>
    </row>
    <row r="71" spans="1:36" x14ac:dyDescent="0.25">
      <c r="A71" s="21" t="s">
        <v>63</v>
      </c>
      <c r="B71" s="61">
        <f>B24*3294</f>
        <v>0</v>
      </c>
      <c r="C71" s="61"/>
      <c r="D71" s="61"/>
      <c r="E71" s="61"/>
      <c r="F71" s="60">
        <f t="shared" si="71"/>
        <v>0</v>
      </c>
      <c r="H71" s="61">
        <f>H24*3294</f>
        <v>0</v>
      </c>
      <c r="I71" s="61"/>
      <c r="J71" s="61"/>
      <c r="K71" s="61"/>
      <c r="L71" s="60">
        <f t="shared" si="72"/>
        <v>0</v>
      </c>
      <c r="N71" s="61">
        <f>N24*3294</f>
        <v>16470</v>
      </c>
      <c r="O71" s="61"/>
      <c r="P71" s="61"/>
      <c r="Q71" s="61"/>
      <c r="R71" s="60">
        <f t="shared" si="73"/>
        <v>16470</v>
      </c>
      <c r="T71" s="61">
        <f>3294*T24</f>
        <v>0</v>
      </c>
      <c r="U71" s="61"/>
      <c r="V71" s="61"/>
      <c r="W71" s="61"/>
      <c r="X71" s="60">
        <f t="shared" si="74"/>
        <v>0</v>
      </c>
      <c r="Z71" s="61"/>
      <c r="AA71" s="61"/>
      <c r="AB71" s="61"/>
      <c r="AC71" s="61"/>
      <c r="AD71" s="60">
        <f t="shared" si="75"/>
        <v>0</v>
      </c>
      <c r="AF71" s="60">
        <f t="shared" si="76"/>
        <v>16470</v>
      </c>
      <c r="AG71" s="60">
        <f t="shared" si="77"/>
        <v>0</v>
      </c>
      <c r="AH71" s="60">
        <f t="shared" si="78"/>
        <v>0</v>
      </c>
      <c r="AI71" s="60">
        <f t="shared" si="79"/>
        <v>0</v>
      </c>
      <c r="AJ71" s="60">
        <f t="shared" si="80"/>
        <v>16470</v>
      </c>
    </row>
    <row r="72" spans="1:36" x14ac:dyDescent="0.25">
      <c r="A72" s="21" t="s">
        <v>64</v>
      </c>
      <c r="B72" s="61">
        <v>393521</v>
      </c>
      <c r="C72" s="61"/>
      <c r="D72" s="61"/>
      <c r="E72" s="61"/>
      <c r="F72" s="60">
        <f t="shared" si="71"/>
        <v>393521</v>
      </c>
      <c r="H72" s="61">
        <v>385109</v>
      </c>
      <c r="I72" s="61"/>
      <c r="J72" s="61"/>
      <c r="K72" s="61"/>
      <c r="L72" s="60">
        <f t="shared" si="72"/>
        <v>385109</v>
      </c>
      <c r="N72" s="61">
        <v>873329</v>
      </c>
      <c r="O72" s="61"/>
      <c r="P72" s="61"/>
      <c r="Q72" s="61"/>
      <c r="R72" s="60">
        <f t="shared" si="73"/>
        <v>873329</v>
      </c>
      <c r="T72" s="61">
        <v>135287</v>
      </c>
      <c r="U72" s="61"/>
      <c r="V72" s="61"/>
      <c r="W72" s="61"/>
      <c r="X72" s="60">
        <f t="shared" si="74"/>
        <v>135287</v>
      </c>
      <c r="Z72" s="61"/>
      <c r="AA72" s="61"/>
      <c r="AB72" s="61"/>
      <c r="AC72" s="61"/>
      <c r="AD72" s="60">
        <f t="shared" si="75"/>
        <v>0</v>
      </c>
      <c r="AF72" s="60">
        <f t="shared" si="76"/>
        <v>1787246</v>
      </c>
      <c r="AG72" s="60">
        <f t="shared" si="77"/>
        <v>0</v>
      </c>
      <c r="AH72" s="60">
        <f t="shared" si="78"/>
        <v>0</v>
      </c>
      <c r="AI72" s="60">
        <f t="shared" si="79"/>
        <v>0</v>
      </c>
      <c r="AJ72" s="60">
        <f t="shared" si="80"/>
        <v>1787246</v>
      </c>
    </row>
    <row r="73" spans="1:36" x14ac:dyDescent="0.25">
      <c r="A73" s="21" t="s">
        <v>65</v>
      </c>
      <c r="B73" s="61"/>
      <c r="C73" s="62">
        <v>386750</v>
      </c>
      <c r="D73" s="61"/>
      <c r="E73" s="61"/>
      <c r="F73" s="60">
        <f t="shared" si="71"/>
        <v>386750</v>
      </c>
      <c r="H73" s="61"/>
      <c r="I73" s="62">
        <v>386750</v>
      </c>
      <c r="J73" s="61"/>
      <c r="K73" s="61"/>
      <c r="L73" s="60">
        <f t="shared" si="72"/>
        <v>386750</v>
      </c>
      <c r="N73" s="61"/>
      <c r="O73" s="62">
        <v>914000</v>
      </c>
      <c r="P73" s="61"/>
      <c r="Q73" s="61"/>
      <c r="R73" s="60">
        <f t="shared" si="73"/>
        <v>914000</v>
      </c>
      <c r="T73" s="61"/>
      <c r="U73" s="61">
        <v>208500</v>
      </c>
      <c r="V73" s="61"/>
      <c r="W73" s="61"/>
      <c r="X73" s="60">
        <f t="shared" si="74"/>
        <v>208500</v>
      </c>
      <c r="Z73" s="61"/>
      <c r="AA73" s="61"/>
      <c r="AB73" s="61"/>
      <c r="AC73" s="61"/>
      <c r="AD73" s="60">
        <f t="shared" si="75"/>
        <v>0</v>
      </c>
      <c r="AF73" s="60">
        <f t="shared" si="76"/>
        <v>0</v>
      </c>
      <c r="AG73" s="60">
        <f t="shared" si="77"/>
        <v>1896000</v>
      </c>
      <c r="AH73" s="60">
        <f t="shared" si="78"/>
        <v>0</v>
      </c>
      <c r="AI73" s="60">
        <f t="shared" si="79"/>
        <v>0</v>
      </c>
      <c r="AJ73" s="60">
        <f t="shared" si="80"/>
        <v>1896000</v>
      </c>
    </row>
    <row r="74" spans="1:36" x14ac:dyDescent="0.25">
      <c r="A74" s="21" t="s">
        <v>66</v>
      </c>
      <c r="B74" s="63"/>
      <c r="C74" s="63">
        <f>3736*C21</f>
        <v>392280</v>
      </c>
      <c r="D74" s="63"/>
      <c r="E74" s="63"/>
      <c r="F74" s="60">
        <f t="shared" si="71"/>
        <v>392280</v>
      </c>
      <c r="H74" s="63"/>
      <c r="I74" s="63">
        <f>3736*I21</f>
        <v>392280</v>
      </c>
      <c r="J74" s="63"/>
      <c r="K74" s="63"/>
      <c r="L74" s="60">
        <f t="shared" si="72"/>
        <v>392280</v>
      </c>
      <c r="N74" s="63"/>
      <c r="O74" s="63">
        <f>3736*O21</f>
        <v>896640</v>
      </c>
      <c r="P74" s="63"/>
      <c r="Q74" s="63"/>
      <c r="R74" s="60">
        <f t="shared" si="73"/>
        <v>896640</v>
      </c>
      <c r="T74" s="61"/>
      <c r="U74" s="63">
        <f>3736*U21</f>
        <v>186800</v>
      </c>
      <c r="V74" s="61"/>
      <c r="W74" s="61"/>
      <c r="X74" s="60">
        <f t="shared" si="74"/>
        <v>186800</v>
      </c>
      <c r="Z74" s="61"/>
      <c r="AA74" s="61"/>
      <c r="AB74" s="61"/>
      <c r="AC74" s="61"/>
      <c r="AD74" s="60">
        <f t="shared" si="75"/>
        <v>0</v>
      </c>
      <c r="AF74" s="60">
        <f t="shared" si="76"/>
        <v>0</v>
      </c>
      <c r="AG74" s="60">
        <f t="shared" si="77"/>
        <v>1868000</v>
      </c>
      <c r="AH74" s="60">
        <f t="shared" si="78"/>
        <v>0</v>
      </c>
      <c r="AI74" s="60">
        <f t="shared" si="79"/>
        <v>0</v>
      </c>
      <c r="AJ74" s="60">
        <f t="shared" si="80"/>
        <v>1868000</v>
      </c>
    </row>
    <row r="75" spans="1:36" x14ac:dyDescent="0.25">
      <c r="A75" s="21" t="s">
        <v>67</v>
      </c>
      <c r="B75" s="63"/>
      <c r="C75" s="63">
        <v>105981</v>
      </c>
      <c r="D75" s="63"/>
      <c r="E75" s="63"/>
      <c r="F75" s="60">
        <f t="shared" si="71"/>
        <v>105981</v>
      </c>
      <c r="H75" s="63"/>
      <c r="I75" s="63">
        <v>105981</v>
      </c>
      <c r="J75" s="63"/>
      <c r="K75" s="63"/>
      <c r="L75" s="60">
        <f t="shared" si="72"/>
        <v>105981</v>
      </c>
      <c r="N75" s="63"/>
      <c r="O75" s="63">
        <v>239137</v>
      </c>
      <c r="P75" s="63"/>
      <c r="Q75" s="63"/>
      <c r="R75" s="60">
        <f t="shared" si="73"/>
        <v>239137</v>
      </c>
      <c r="T75" s="61"/>
      <c r="U75" s="61">
        <v>29816</v>
      </c>
      <c r="V75" s="61"/>
      <c r="W75" s="61"/>
      <c r="X75" s="60">
        <f t="shared" si="74"/>
        <v>29816</v>
      </c>
      <c r="Z75" s="61"/>
      <c r="AA75" s="61"/>
      <c r="AB75" s="61"/>
      <c r="AC75" s="61"/>
      <c r="AD75" s="60">
        <f t="shared" si="75"/>
        <v>0</v>
      </c>
      <c r="AF75" s="60">
        <f t="shared" si="76"/>
        <v>0</v>
      </c>
      <c r="AG75" s="60">
        <f t="shared" si="77"/>
        <v>480915</v>
      </c>
      <c r="AH75" s="60">
        <f t="shared" si="78"/>
        <v>0</v>
      </c>
      <c r="AI75" s="60">
        <f t="shared" si="79"/>
        <v>0</v>
      </c>
      <c r="AJ75" s="60">
        <f t="shared" si="80"/>
        <v>480915</v>
      </c>
    </row>
    <row r="76" spans="1:36" x14ac:dyDescent="0.25">
      <c r="A76" s="21" t="s">
        <v>68</v>
      </c>
      <c r="B76" s="61">
        <v>40000</v>
      </c>
      <c r="C76" s="63"/>
      <c r="D76" s="63"/>
      <c r="E76" s="63"/>
      <c r="F76" s="60">
        <f t="shared" si="71"/>
        <v>40000</v>
      </c>
      <c r="H76" s="61">
        <v>40000</v>
      </c>
      <c r="I76" s="63"/>
      <c r="J76" s="63"/>
      <c r="K76" s="63"/>
      <c r="L76" s="60">
        <f t="shared" si="72"/>
        <v>40000</v>
      </c>
      <c r="N76" s="61">
        <v>40000</v>
      </c>
      <c r="O76" s="63"/>
      <c r="P76" s="63"/>
      <c r="Q76" s="63"/>
      <c r="R76" s="60">
        <f t="shared" si="73"/>
        <v>40000</v>
      </c>
      <c r="T76" s="61">
        <v>0</v>
      </c>
      <c r="U76" s="61"/>
      <c r="V76" s="61"/>
      <c r="W76" s="61"/>
      <c r="X76" s="60">
        <f t="shared" si="74"/>
        <v>0</v>
      </c>
      <c r="Z76" s="61">
        <v>90000</v>
      </c>
      <c r="AA76" s="61"/>
      <c r="AB76" s="61"/>
      <c r="AC76" s="61"/>
      <c r="AD76" s="60">
        <f t="shared" si="75"/>
        <v>90000</v>
      </c>
      <c r="AF76" s="60">
        <f t="shared" si="76"/>
        <v>210000</v>
      </c>
      <c r="AG76" s="60">
        <f t="shared" si="77"/>
        <v>0</v>
      </c>
      <c r="AH76" s="60">
        <f t="shared" si="78"/>
        <v>0</v>
      </c>
      <c r="AI76" s="60">
        <f t="shared" si="79"/>
        <v>0</v>
      </c>
      <c r="AJ76" s="60">
        <f t="shared" si="80"/>
        <v>210000</v>
      </c>
    </row>
    <row r="77" spans="1:36" x14ac:dyDescent="0.25">
      <c r="A77" s="21" t="s">
        <v>69</v>
      </c>
      <c r="B77" s="63"/>
      <c r="C77" s="63"/>
      <c r="D77" s="63"/>
      <c r="E77" s="63"/>
      <c r="F77" s="60">
        <f t="shared" si="71"/>
        <v>0</v>
      </c>
      <c r="H77" s="63"/>
      <c r="I77" s="63"/>
      <c r="J77" s="63"/>
      <c r="K77" s="63"/>
      <c r="L77" s="60">
        <f t="shared" si="72"/>
        <v>0</v>
      </c>
      <c r="N77" s="63"/>
      <c r="O77" s="63"/>
      <c r="P77" s="63"/>
      <c r="Q77" s="63"/>
      <c r="R77" s="60">
        <f t="shared" si="73"/>
        <v>0</v>
      </c>
      <c r="T77" s="61"/>
      <c r="U77" s="61"/>
      <c r="V77" s="61"/>
      <c r="W77" s="61"/>
      <c r="X77" s="60">
        <f t="shared" si="74"/>
        <v>0</v>
      </c>
      <c r="Z77" s="61"/>
      <c r="AA77" s="61"/>
      <c r="AB77" s="61"/>
      <c r="AC77" s="61">
        <v>1993322</v>
      </c>
      <c r="AD77" s="60">
        <f t="shared" si="75"/>
        <v>1993322</v>
      </c>
      <c r="AF77" s="60">
        <f t="shared" si="76"/>
        <v>0</v>
      </c>
      <c r="AG77" s="60">
        <f t="shared" si="77"/>
        <v>0</v>
      </c>
      <c r="AH77" s="60">
        <f t="shared" si="78"/>
        <v>0</v>
      </c>
      <c r="AI77" s="60">
        <f t="shared" si="79"/>
        <v>1993322</v>
      </c>
      <c r="AJ77" s="60">
        <f t="shared" si="80"/>
        <v>1993322</v>
      </c>
    </row>
    <row r="78" spans="1:36" x14ac:dyDescent="0.25">
      <c r="A78" s="21" t="s">
        <v>70</v>
      </c>
      <c r="B78" s="63"/>
      <c r="C78" s="63"/>
      <c r="D78" s="63"/>
      <c r="E78" s="63"/>
      <c r="F78" s="60">
        <f t="shared" si="71"/>
        <v>0</v>
      </c>
      <c r="H78" s="63"/>
      <c r="I78" s="63"/>
      <c r="J78" s="63"/>
      <c r="K78" s="63"/>
      <c r="L78" s="60">
        <f t="shared" si="72"/>
        <v>0</v>
      </c>
      <c r="N78" s="63"/>
      <c r="O78" s="63"/>
      <c r="P78" s="63"/>
      <c r="Q78" s="63"/>
      <c r="R78" s="60">
        <f t="shared" si="73"/>
        <v>0</v>
      </c>
      <c r="T78" s="61"/>
      <c r="U78" s="61"/>
      <c r="V78" s="61"/>
      <c r="W78" s="61"/>
      <c r="X78" s="60">
        <f t="shared" si="74"/>
        <v>0</v>
      </c>
      <c r="Z78" s="61"/>
      <c r="AA78" s="61"/>
      <c r="AB78" s="61"/>
      <c r="AC78" s="61"/>
      <c r="AD78" s="60">
        <f t="shared" si="75"/>
        <v>0</v>
      </c>
      <c r="AF78" s="60">
        <f t="shared" si="76"/>
        <v>0</v>
      </c>
      <c r="AG78" s="60">
        <f t="shared" si="77"/>
        <v>0</v>
      </c>
      <c r="AH78" s="60">
        <f t="shared" si="78"/>
        <v>0</v>
      </c>
      <c r="AI78" s="60">
        <f t="shared" si="79"/>
        <v>0</v>
      </c>
      <c r="AJ78" s="60">
        <f t="shared" si="80"/>
        <v>0</v>
      </c>
    </row>
    <row r="79" spans="1:36" x14ac:dyDescent="0.25">
      <c r="A79" s="21" t="s">
        <v>71</v>
      </c>
      <c r="B79" s="63"/>
      <c r="C79" s="63"/>
      <c r="D79" s="63"/>
      <c r="E79" s="63"/>
      <c r="F79" s="60">
        <f t="shared" si="71"/>
        <v>0</v>
      </c>
      <c r="H79" s="63"/>
      <c r="I79" s="63"/>
      <c r="J79" s="63"/>
      <c r="K79" s="63"/>
      <c r="L79" s="60">
        <f t="shared" si="72"/>
        <v>0</v>
      </c>
      <c r="N79" s="63"/>
      <c r="O79" s="63"/>
      <c r="P79" s="63"/>
      <c r="Q79" s="63"/>
      <c r="R79" s="60">
        <f t="shared" si="73"/>
        <v>0</v>
      </c>
      <c r="T79" s="61"/>
      <c r="U79" s="61"/>
      <c r="V79" s="61"/>
      <c r="W79" s="61"/>
      <c r="X79" s="60">
        <f t="shared" si="74"/>
        <v>0</v>
      </c>
      <c r="Z79" s="61"/>
      <c r="AA79" s="61"/>
      <c r="AB79" s="61"/>
      <c r="AC79" s="61"/>
      <c r="AD79" s="60">
        <f t="shared" si="75"/>
        <v>0</v>
      </c>
      <c r="AF79" s="60">
        <f t="shared" si="76"/>
        <v>0</v>
      </c>
      <c r="AG79" s="60">
        <f t="shared" si="77"/>
        <v>0</v>
      </c>
      <c r="AH79" s="60">
        <f t="shared" si="78"/>
        <v>0</v>
      </c>
      <c r="AI79" s="60">
        <f t="shared" si="79"/>
        <v>0</v>
      </c>
      <c r="AJ79" s="60">
        <f t="shared" si="80"/>
        <v>0</v>
      </c>
    </row>
    <row r="80" spans="1:36" x14ac:dyDescent="0.25">
      <c r="A80" s="21" t="s">
        <v>72</v>
      </c>
      <c r="B80" s="63"/>
      <c r="C80" s="63"/>
      <c r="D80" s="61">
        <f>(((950*0.9923)*180)*2.84)+(((950*0.0077)*180)*0.21)</f>
        <v>482177.07899999991</v>
      </c>
      <c r="E80" s="63"/>
      <c r="F80" s="60">
        <f t="shared" si="71"/>
        <v>482177.07899999991</v>
      </c>
      <c r="H80" s="63"/>
      <c r="I80" s="63"/>
      <c r="J80" s="61">
        <f>(((875*0.9923)*180)*2.84)+(((875*0.0077)*180)*0.21)</f>
        <v>444110.46749999997</v>
      </c>
      <c r="K80" s="63"/>
      <c r="L80" s="60">
        <f t="shared" si="72"/>
        <v>444110.46749999997</v>
      </c>
      <c r="N80" s="63"/>
      <c r="O80" s="63"/>
      <c r="P80" s="61">
        <f>(((1100*0.9923)*180)*2.84)+(((1100*0.0077)*180)*0.21)</f>
        <v>558310.30199999991</v>
      </c>
      <c r="Q80" s="63"/>
      <c r="R80" s="60">
        <f t="shared" si="73"/>
        <v>558310.30199999991</v>
      </c>
      <c r="T80" s="61"/>
      <c r="U80" s="61"/>
      <c r="V80" s="61">
        <f>330*2.38*180</f>
        <v>141372</v>
      </c>
      <c r="W80" s="61"/>
      <c r="X80" s="60">
        <f t="shared" si="74"/>
        <v>141372</v>
      </c>
      <c r="Z80" s="61"/>
      <c r="AA80" s="61"/>
      <c r="AB80" s="61"/>
      <c r="AC80" s="61"/>
      <c r="AD80" s="60">
        <f t="shared" si="75"/>
        <v>0</v>
      </c>
      <c r="AF80" s="60">
        <f t="shared" si="76"/>
        <v>0</v>
      </c>
      <c r="AG80" s="60">
        <f t="shared" si="77"/>
        <v>0</v>
      </c>
      <c r="AH80" s="60">
        <f t="shared" si="78"/>
        <v>1625969.8484999998</v>
      </c>
      <c r="AI80" s="60">
        <f t="shared" si="79"/>
        <v>0</v>
      </c>
      <c r="AJ80" s="60">
        <f t="shared" si="80"/>
        <v>1625969.8484999998</v>
      </c>
    </row>
    <row r="81" spans="1:36" x14ac:dyDescent="0.25">
      <c r="A81" s="22" t="s">
        <v>73</v>
      </c>
      <c r="B81" s="64"/>
      <c r="C81" s="64"/>
      <c r="D81" s="61">
        <f>(((805*0.9923)*4.52)*180)+(((805*0.0077)*0.51)*180)</f>
        <v>650473.92269999988</v>
      </c>
      <c r="E81" s="64"/>
      <c r="F81" s="60">
        <f t="shared" si="71"/>
        <v>650473.92269999988</v>
      </c>
      <c r="H81" s="64"/>
      <c r="I81" s="64"/>
      <c r="J81" s="61">
        <f>(((600*0.9923)*4.52)*180)+(((600*0.0077)*0.51)*180)</f>
        <v>484825.28399999993</v>
      </c>
      <c r="K81" s="64"/>
      <c r="L81" s="60">
        <f t="shared" si="72"/>
        <v>484825.28399999993</v>
      </c>
      <c r="N81" s="64"/>
      <c r="O81" s="64"/>
      <c r="P81" s="61">
        <f>(((1100*0.9923)*4.52)*180)+(((1100*0.0077)*0.51)*180)</f>
        <v>888846.35399999993</v>
      </c>
      <c r="Q81" s="64"/>
      <c r="R81" s="60">
        <f t="shared" si="73"/>
        <v>888846.35399999993</v>
      </c>
      <c r="T81" s="91"/>
      <c r="U81" s="91"/>
      <c r="V81" s="61">
        <f>330*4.35*180</f>
        <v>258389.99999999997</v>
      </c>
      <c r="W81" s="91"/>
      <c r="X81" s="60">
        <f t="shared" si="74"/>
        <v>258389.99999999997</v>
      </c>
      <c r="Z81" s="91"/>
      <c r="AA81" s="91"/>
      <c r="AB81" s="61"/>
      <c r="AC81" s="91"/>
      <c r="AD81" s="60">
        <f t="shared" si="75"/>
        <v>0</v>
      </c>
      <c r="AF81" s="60">
        <f t="shared" si="76"/>
        <v>0</v>
      </c>
      <c r="AG81" s="60">
        <f t="shared" si="77"/>
        <v>0</v>
      </c>
      <c r="AH81" s="60">
        <f t="shared" si="78"/>
        <v>2282535.5606999998</v>
      </c>
      <c r="AI81" s="60">
        <f t="shared" si="79"/>
        <v>0</v>
      </c>
      <c r="AJ81" s="60">
        <f t="shared" si="80"/>
        <v>2282535.5606999998</v>
      </c>
    </row>
    <row r="82" spans="1:36" x14ac:dyDescent="0.25">
      <c r="A82" s="23"/>
      <c r="B82" s="65">
        <f>SUM(B68:B81)</f>
        <v>11637769</v>
      </c>
      <c r="C82" s="65">
        <f t="shared" ref="C82:E82" si="81">SUM(C68:C81)</f>
        <v>885011</v>
      </c>
      <c r="D82" s="65">
        <f t="shared" si="81"/>
        <v>1132651.0016999999</v>
      </c>
      <c r="E82" s="65">
        <f t="shared" si="81"/>
        <v>0</v>
      </c>
      <c r="F82" s="65">
        <f t="shared" ref="F82" si="82">SUM(F68:F81)</f>
        <v>13655431.001699999</v>
      </c>
      <c r="H82" s="65">
        <f>SUM(H68:H81)</f>
        <v>11629357</v>
      </c>
      <c r="I82" s="65">
        <f t="shared" ref="I82:L82" si="83">SUM(I68:I81)</f>
        <v>885011</v>
      </c>
      <c r="J82" s="65">
        <f t="shared" si="83"/>
        <v>928935.7514999999</v>
      </c>
      <c r="K82" s="65">
        <f t="shared" si="83"/>
        <v>0</v>
      </c>
      <c r="L82" s="65">
        <f t="shared" si="83"/>
        <v>13443303.751499999</v>
      </c>
      <c r="N82" s="65">
        <f>SUM(N68:N81)</f>
        <v>27062752</v>
      </c>
      <c r="O82" s="65">
        <f t="shared" ref="O82:R82" si="84">SUM(O68:O81)</f>
        <v>2049777</v>
      </c>
      <c r="P82" s="65">
        <f t="shared" si="84"/>
        <v>1447156.656</v>
      </c>
      <c r="Q82" s="65">
        <f t="shared" si="84"/>
        <v>0</v>
      </c>
      <c r="R82" s="65">
        <f t="shared" si="84"/>
        <v>30559685.655999999</v>
      </c>
      <c r="T82" s="65">
        <f t="shared" ref="T82:W82" si="85">SUM(T68:T81)</f>
        <v>4869511</v>
      </c>
      <c r="U82" s="65">
        <f t="shared" si="85"/>
        <v>425116</v>
      </c>
      <c r="V82" s="65">
        <f t="shared" si="85"/>
        <v>399762</v>
      </c>
      <c r="W82" s="65">
        <f t="shared" si="85"/>
        <v>0</v>
      </c>
      <c r="X82" s="65">
        <f t="shared" ref="X82" si="86">SUM(X68:X81)</f>
        <v>5694389</v>
      </c>
      <c r="Z82" s="65">
        <f>SUM(Z68:Z81)</f>
        <v>90000</v>
      </c>
      <c r="AA82" s="65">
        <f t="shared" ref="AA82:AC82" si="87">SUM(AA68:AA81)</f>
        <v>0</v>
      </c>
      <c r="AB82" s="65">
        <f t="shared" si="87"/>
        <v>0</v>
      </c>
      <c r="AC82" s="65">
        <f t="shared" si="87"/>
        <v>1993322</v>
      </c>
      <c r="AD82" s="65">
        <f t="shared" ref="AD82" si="88">SUM(AD68:AD81)</f>
        <v>2083322</v>
      </c>
      <c r="AF82" s="65">
        <f>SUM(AF68:AF81)</f>
        <v>55289389</v>
      </c>
      <c r="AG82" s="65">
        <f t="shared" ref="AG82:AI82" si="89">SUM(AG68:AG81)</f>
        <v>4244915</v>
      </c>
      <c r="AH82" s="65">
        <f t="shared" si="89"/>
        <v>3908505.4091999996</v>
      </c>
      <c r="AI82" s="65">
        <f t="shared" si="89"/>
        <v>1993322</v>
      </c>
      <c r="AJ82" s="65">
        <f t="shared" ref="AJ82" si="90">SUM(AJ68:AJ81)</f>
        <v>65436131.409199998</v>
      </c>
    </row>
    <row r="83" spans="1:36" x14ac:dyDescent="0.25">
      <c r="B83" s="57"/>
      <c r="C83" s="57"/>
      <c r="D83" s="57"/>
      <c r="E83" s="57"/>
      <c r="F83" s="57"/>
      <c r="H83" s="57"/>
      <c r="I83" s="57"/>
      <c r="J83" s="57"/>
      <c r="K83" s="57"/>
      <c r="L83" s="57"/>
      <c r="N83" s="57"/>
      <c r="O83" s="57"/>
      <c r="P83" s="57"/>
      <c r="Q83" s="57"/>
      <c r="R83" s="57"/>
      <c r="T83" s="57"/>
      <c r="U83" s="57"/>
      <c r="V83" s="57"/>
      <c r="W83" s="57"/>
      <c r="X83" s="57"/>
      <c r="Z83" s="57"/>
      <c r="AA83" s="57"/>
      <c r="AB83" s="57"/>
      <c r="AC83" s="57"/>
      <c r="AD83" s="57"/>
      <c r="AF83" s="57"/>
      <c r="AG83" s="57"/>
      <c r="AH83" s="57"/>
      <c r="AI83" s="57"/>
      <c r="AJ83" s="57"/>
    </row>
    <row r="84" spans="1:36" x14ac:dyDescent="0.25">
      <c r="A84" s="24"/>
      <c r="B84" s="66" t="s">
        <v>157</v>
      </c>
      <c r="C84" s="66" t="s">
        <v>158</v>
      </c>
      <c r="D84" s="66" t="s">
        <v>159</v>
      </c>
      <c r="E84" s="67" t="str">
        <f>E67</f>
        <v>Other</v>
      </c>
      <c r="F84" s="67" t="str">
        <f>F67</f>
        <v>FY26- Mtn</v>
      </c>
      <c r="H84" s="66" t="s">
        <v>157</v>
      </c>
      <c r="I84" s="66" t="s">
        <v>158</v>
      </c>
      <c r="J84" s="66" t="s">
        <v>159</v>
      </c>
      <c r="K84" s="67" t="str">
        <f>K67</f>
        <v>Other</v>
      </c>
      <c r="L84" s="67" t="str">
        <f>L67</f>
        <v>FY26- Bon</v>
      </c>
      <c r="N84" s="66" t="s">
        <v>157</v>
      </c>
      <c r="O84" s="66" t="s">
        <v>158</v>
      </c>
      <c r="P84" s="66" t="s">
        <v>159</v>
      </c>
      <c r="Q84" s="67" t="str">
        <f>Q67</f>
        <v>Other</v>
      </c>
      <c r="R84" s="67" t="str">
        <f>R67</f>
        <v>FY26- East</v>
      </c>
      <c r="T84" s="66" t="s">
        <v>157</v>
      </c>
      <c r="U84" s="66" t="s">
        <v>158</v>
      </c>
      <c r="V84" s="66" t="s">
        <v>159</v>
      </c>
      <c r="W84" s="67" t="str">
        <f>W67</f>
        <v>Other</v>
      </c>
      <c r="X84" s="67" t="str">
        <f>X67</f>
        <v>FY26- Cactus</v>
      </c>
      <c r="Z84" s="66" t="s">
        <v>157</v>
      </c>
      <c r="AA84" s="66" t="s">
        <v>158</v>
      </c>
      <c r="AB84" s="66" t="s">
        <v>159</v>
      </c>
      <c r="AC84" s="67" t="str">
        <f>AC67</f>
        <v>Grant</v>
      </c>
      <c r="AD84" s="67" t="str">
        <f>AD67</f>
        <v>FY26 - Central</v>
      </c>
      <c r="AF84" s="66" t="s">
        <v>157</v>
      </c>
      <c r="AG84" s="66" t="s">
        <v>158</v>
      </c>
      <c r="AH84" s="66" t="s">
        <v>159</v>
      </c>
      <c r="AI84" s="67" t="str">
        <f>AI67</f>
        <v>Grant</v>
      </c>
      <c r="AJ84" s="67" t="str">
        <f>AJ67</f>
        <v>FY26- Sys</v>
      </c>
    </row>
    <row r="85" spans="1:36" x14ac:dyDescent="0.25">
      <c r="A85" s="20" t="s">
        <v>74</v>
      </c>
      <c r="B85" s="68"/>
      <c r="C85" s="68"/>
      <c r="D85" s="68"/>
      <c r="E85" s="68"/>
      <c r="F85" s="68"/>
      <c r="H85" s="68"/>
      <c r="I85" s="68"/>
      <c r="J85" s="68"/>
      <c r="K85" s="68"/>
      <c r="L85" s="68"/>
      <c r="N85" s="75"/>
      <c r="O85" s="75"/>
      <c r="P85" s="75"/>
      <c r="Q85" s="75"/>
      <c r="R85" s="75">
        <f>SUM(N85:Q85)</f>
        <v>0</v>
      </c>
      <c r="T85" s="68"/>
      <c r="U85" s="68"/>
      <c r="V85" s="68"/>
      <c r="W85" s="68"/>
      <c r="X85" s="68"/>
      <c r="Z85" s="75"/>
      <c r="AA85" s="75"/>
      <c r="AB85" s="75"/>
      <c r="AC85" s="75"/>
      <c r="AD85" s="68"/>
      <c r="AF85" s="75">
        <f>B85+H85+N85+T85+Z85</f>
        <v>0</v>
      </c>
      <c r="AG85" s="75">
        <f t="shared" ref="AG85:AI85" si="91">C85+I85+O85+U85+AA85</f>
        <v>0</v>
      </c>
      <c r="AH85" s="75">
        <f t="shared" si="91"/>
        <v>0</v>
      </c>
      <c r="AI85" s="75">
        <f t="shared" si="91"/>
        <v>0</v>
      </c>
      <c r="AJ85" s="93">
        <f>SUM(AF85:AI85)</f>
        <v>0</v>
      </c>
    </row>
    <row r="86" spans="1:36" x14ac:dyDescent="0.25">
      <c r="A86" s="21" t="s">
        <v>75</v>
      </c>
      <c r="B86" s="69"/>
      <c r="C86" s="69"/>
      <c r="D86" s="69"/>
      <c r="E86" s="69"/>
      <c r="F86" s="69"/>
      <c r="H86" s="69"/>
      <c r="I86" s="69"/>
      <c r="J86" s="69"/>
      <c r="K86" s="69"/>
      <c r="L86" s="69"/>
      <c r="N86" s="63"/>
      <c r="O86" s="63"/>
      <c r="P86" s="63"/>
      <c r="Q86" s="63"/>
      <c r="R86" s="75">
        <f t="shared" ref="R86:R87" si="92">SUM(N86:Q86)</f>
        <v>0</v>
      </c>
      <c r="T86" s="69"/>
      <c r="U86" s="69"/>
      <c r="V86" s="69"/>
      <c r="W86" s="69"/>
      <c r="X86" s="69"/>
      <c r="Z86" s="63"/>
      <c r="AA86" s="63"/>
      <c r="AB86" s="63"/>
      <c r="AC86" s="63"/>
      <c r="AD86" s="69"/>
      <c r="AF86" s="75">
        <f t="shared" ref="AF86:AF87" si="93">B86+H86+N86+T86+Z86</f>
        <v>0</v>
      </c>
      <c r="AG86" s="75">
        <f t="shared" ref="AG86:AG87" si="94">C86+I86+O86+U86+AA86</f>
        <v>0</v>
      </c>
      <c r="AH86" s="75">
        <f t="shared" ref="AH86:AH87" si="95">D86+J86+P86+V86+AB86</f>
        <v>0</v>
      </c>
      <c r="AI86" s="75">
        <f t="shared" ref="AI86:AI87" si="96">E86+K86+Q86+W86+AC86</f>
        <v>0</v>
      </c>
      <c r="AJ86" s="93">
        <f t="shared" ref="AJ86:AJ87" si="97">SUM(AF86:AI86)</f>
        <v>0</v>
      </c>
    </row>
    <row r="87" spans="1:36" x14ac:dyDescent="0.25">
      <c r="A87" s="22" t="s">
        <v>76</v>
      </c>
      <c r="B87" s="70"/>
      <c r="C87" s="70"/>
      <c r="D87" s="70"/>
      <c r="E87" s="70"/>
      <c r="F87" s="70"/>
      <c r="H87" s="70"/>
      <c r="I87" s="70"/>
      <c r="J87" s="70"/>
      <c r="K87" s="70"/>
      <c r="L87" s="70"/>
      <c r="N87" s="64"/>
      <c r="O87" s="64"/>
      <c r="P87" s="64"/>
      <c r="Q87" s="64">
        <v>0</v>
      </c>
      <c r="R87" s="75">
        <f t="shared" si="92"/>
        <v>0</v>
      </c>
      <c r="T87" s="70"/>
      <c r="U87" s="70"/>
      <c r="V87" s="70"/>
      <c r="W87" s="70"/>
      <c r="X87" s="70"/>
      <c r="Z87" s="64"/>
      <c r="AA87" s="64"/>
      <c r="AB87" s="64"/>
      <c r="AC87" s="64"/>
      <c r="AD87" s="70"/>
      <c r="AF87" s="75">
        <f t="shared" si="93"/>
        <v>0</v>
      </c>
      <c r="AG87" s="75">
        <f t="shared" si="94"/>
        <v>0</v>
      </c>
      <c r="AH87" s="75">
        <f t="shared" si="95"/>
        <v>0</v>
      </c>
      <c r="AI87" s="75">
        <f t="shared" si="96"/>
        <v>0</v>
      </c>
      <c r="AJ87" s="93">
        <f t="shared" si="97"/>
        <v>0</v>
      </c>
    </row>
    <row r="88" spans="1:36" x14ac:dyDescent="0.25">
      <c r="A88" s="24"/>
      <c r="B88" s="71">
        <f>SUM(B85:B87)</f>
        <v>0</v>
      </c>
      <c r="C88" s="71">
        <f t="shared" ref="C88:E88" si="98">SUM(C85:C87)</f>
        <v>0</v>
      </c>
      <c r="D88" s="71">
        <f t="shared" si="98"/>
        <v>0</v>
      </c>
      <c r="E88" s="71">
        <f t="shared" si="98"/>
        <v>0</v>
      </c>
      <c r="F88" s="71">
        <f t="shared" ref="F88" si="99">SUM(F85:F87)</f>
        <v>0</v>
      </c>
      <c r="H88" s="71">
        <f>SUM(H85:H87)</f>
        <v>0</v>
      </c>
      <c r="I88" s="71">
        <f t="shared" ref="I88:L88" si="100">SUM(I85:I87)</f>
        <v>0</v>
      </c>
      <c r="J88" s="71">
        <f t="shared" si="100"/>
        <v>0</v>
      </c>
      <c r="K88" s="71">
        <f t="shared" si="100"/>
        <v>0</v>
      </c>
      <c r="L88" s="71">
        <f t="shared" si="100"/>
        <v>0</v>
      </c>
      <c r="N88" s="88">
        <f>SUM(N85:N87)</f>
        <v>0</v>
      </c>
      <c r="O88" s="88">
        <f t="shared" ref="O88:R88" si="101">SUM(O85:O87)</f>
        <v>0</v>
      </c>
      <c r="P88" s="88">
        <f t="shared" si="101"/>
        <v>0</v>
      </c>
      <c r="Q88" s="88">
        <f t="shared" si="101"/>
        <v>0</v>
      </c>
      <c r="R88" s="88">
        <f t="shared" si="101"/>
        <v>0</v>
      </c>
      <c r="T88" s="71">
        <f t="shared" ref="T88:W88" si="102">SUM(T85:T87)</f>
        <v>0</v>
      </c>
      <c r="U88" s="71">
        <f t="shared" si="102"/>
        <v>0</v>
      </c>
      <c r="V88" s="71">
        <f t="shared" si="102"/>
        <v>0</v>
      </c>
      <c r="W88" s="71">
        <f t="shared" si="102"/>
        <v>0</v>
      </c>
      <c r="X88" s="71">
        <f t="shared" ref="X88" si="103">SUM(X85:X87)</f>
        <v>0</v>
      </c>
      <c r="Z88" s="88">
        <f>SUM(Z85:Z87)</f>
        <v>0</v>
      </c>
      <c r="AA88" s="88">
        <f t="shared" ref="AA88:AC88" si="104">SUM(AA85:AA87)</f>
        <v>0</v>
      </c>
      <c r="AB88" s="88">
        <f t="shared" si="104"/>
        <v>0</v>
      </c>
      <c r="AC88" s="88">
        <f t="shared" si="104"/>
        <v>0</v>
      </c>
      <c r="AD88" s="71">
        <f t="shared" ref="AD88" si="105">SUM(AD85:AD87)</f>
        <v>0</v>
      </c>
      <c r="AF88" s="88">
        <f>SUM(AF85:AF87)</f>
        <v>0</v>
      </c>
      <c r="AG88" s="88">
        <f t="shared" ref="AG88:AI88" si="106">SUM(AG85:AG87)</f>
        <v>0</v>
      </c>
      <c r="AH88" s="88">
        <f t="shared" si="106"/>
        <v>0</v>
      </c>
      <c r="AI88" s="88">
        <f t="shared" si="106"/>
        <v>0</v>
      </c>
      <c r="AJ88" s="71">
        <f t="shared" ref="AJ88" si="107">SUM(AJ85:AJ87)</f>
        <v>0</v>
      </c>
    </row>
    <row r="89" spans="1:36" x14ac:dyDescent="0.25">
      <c r="B89" s="57"/>
      <c r="C89" s="57"/>
      <c r="D89" s="57"/>
      <c r="E89" s="57"/>
      <c r="F89" s="57"/>
      <c r="H89" s="57"/>
      <c r="I89" s="57"/>
      <c r="J89" s="57"/>
      <c r="K89" s="57"/>
      <c r="L89" s="57"/>
      <c r="N89" s="57"/>
      <c r="O89" s="57"/>
      <c r="P89" s="57"/>
      <c r="Q89" s="57"/>
      <c r="R89" s="57"/>
      <c r="T89" s="57"/>
      <c r="U89" s="57"/>
      <c r="V89" s="57"/>
      <c r="W89" s="57"/>
      <c r="X89" s="57"/>
      <c r="Z89" s="57"/>
      <c r="AA89" s="57"/>
      <c r="AB89" s="57"/>
      <c r="AC89" s="57"/>
      <c r="AD89" s="57"/>
      <c r="AF89" s="57"/>
      <c r="AG89" s="57"/>
      <c r="AH89" s="57"/>
      <c r="AI89" s="57"/>
      <c r="AJ89" s="57"/>
    </row>
    <row r="90" spans="1:36" ht="16.5" thickBot="1" x14ac:dyDescent="0.3">
      <c r="B90" s="57"/>
      <c r="C90" s="57"/>
      <c r="D90" s="57"/>
      <c r="E90" s="57"/>
      <c r="F90" s="57"/>
      <c r="H90" s="57"/>
      <c r="I90" s="57"/>
      <c r="J90" s="57"/>
      <c r="K90" s="57"/>
      <c r="L90" s="57"/>
      <c r="N90" s="57"/>
      <c r="O90" s="57"/>
      <c r="P90" s="57"/>
      <c r="Q90" s="57"/>
      <c r="R90" s="57"/>
      <c r="T90" s="57"/>
      <c r="U90" s="57"/>
      <c r="V90" s="57"/>
      <c r="W90" s="57"/>
      <c r="X90" s="57"/>
      <c r="Z90" s="57"/>
      <c r="AA90" s="57"/>
      <c r="AB90" s="57"/>
      <c r="AC90" s="57"/>
      <c r="AD90" s="57"/>
      <c r="AF90" s="57"/>
      <c r="AG90" s="57"/>
      <c r="AH90" s="57"/>
      <c r="AI90" s="57"/>
      <c r="AJ90" s="57"/>
    </row>
    <row r="91" spans="1:36" x14ac:dyDescent="0.25">
      <c r="A91" s="25"/>
      <c r="B91" s="72" t="s">
        <v>157</v>
      </c>
      <c r="C91" s="72" t="s">
        <v>158</v>
      </c>
      <c r="D91" s="72" t="s">
        <v>159</v>
      </c>
      <c r="E91" s="73" t="str">
        <f>E84</f>
        <v>Other</v>
      </c>
      <c r="F91" s="73" t="str">
        <f>F84</f>
        <v>FY26- Mtn</v>
      </c>
      <c r="H91" s="72" t="s">
        <v>157</v>
      </c>
      <c r="I91" s="72" t="s">
        <v>158</v>
      </c>
      <c r="J91" s="72" t="s">
        <v>159</v>
      </c>
      <c r="K91" s="73" t="str">
        <f>K84</f>
        <v>Other</v>
      </c>
      <c r="L91" s="73" t="str">
        <f>L84</f>
        <v>FY26- Bon</v>
      </c>
      <c r="N91" s="72" t="s">
        <v>157</v>
      </c>
      <c r="O91" s="72" t="s">
        <v>158</v>
      </c>
      <c r="P91" s="72" t="s">
        <v>159</v>
      </c>
      <c r="Q91" s="73" t="str">
        <f>Q84</f>
        <v>Other</v>
      </c>
      <c r="R91" s="73" t="str">
        <f>R84</f>
        <v>FY26- East</v>
      </c>
      <c r="T91" s="72" t="s">
        <v>157</v>
      </c>
      <c r="U91" s="72" t="s">
        <v>158</v>
      </c>
      <c r="V91" s="72" t="s">
        <v>159</v>
      </c>
      <c r="W91" s="73" t="str">
        <f>W84</f>
        <v>Other</v>
      </c>
      <c r="X91" s="73" t="str">
        <f>X84</f>
        <v>FY26- Cactus</v>
      </c>
      <c r="Z91" s="72" t="s">
        <v>157</v>
      </c>
      <c r="AA91" s="72" t="s">
        <v>158</v>
      </c>
      <c r="AB91" s="72" t="s">
        <v>159</v>
      </c>
      <c r="AC91" s="73" t="str">
        <f>AC84</f>
        <v>Grant</v>
      </c>
      <c r="AD91" s="73" t="str">
        <f>AD84</f>
        <v>FY26 - Central</v>
      </c>
      <c r="AF91" s="72" t="s">
        <v>157</v>
      </c>
      <c r="AG91" s="72" t="s">
        <v>158</v>
      </c>
      <c r="AH91" s="72" t="s">
        <v>159</v>
      </c>
      <c r="AI91" s="73" t="str">
        <f>AI84</f>
        <v>Grant</v>
      </c>
      <c r="AJ91" s="73" t="str">
        <f>AJ84</f>
        <v>FY26- Sys</v>
      </c>
    </row>
    <row r="92" spans="1:36" x14ac:dyDescent="0.25">
      <c r="A92" s="26"/>
      <c r="B92" s="74"/>
      <c r="C92" s="74"/>
      <c r="D92" s="74"/>
      <c r="E92" s="74"/>
      <c r="F92" s="74"/>
      <c r="H92" s="74"/>
      <c r="I92" s="74"/>
      <c r="J92" s="74"/>
      <c r="K92" s="74"/>
      <c r="L92" s="74"/>
      <c r="N92" s="74"/>
      <c r="O92" s="74"/>
      <c r="P92" s="74"/>
      <c r="Q92" s="74"/>
      <c r="R92" s="74"/>
      <c r="T92" s="74"/>
      <c r="U92" s="74"/>
      <c r="V92" s="74"/>
      <c r="W92" s="74"/>
      <c r="X92" s="74"/>
      <c r="Z92" s="74"/>
      <c r="AA92" s="74"/>
      <c r="AB92" s="74"/>
      <c r="AC92" s="74"/>
      <c r="AD92" s="74"/>
      <c r="AF92" s="74"/>
      <c r="AG92" s="74"/>
      <c r="AH92" s="74"/>
      <c r="AI92" s="74"/>
      <c r="AJ92" s="74"/>
    </row>
    <row r="93" spans="1:36" x14ac:dyDescent="0.25">
      <c r="A93" s="20" t="s">
        <v>34</v>
      </c>
      <c r="B93" s="75">
        <v>170100</v>
      </c>
      <c r="C93" s="75"/>
      <c r="D93" s="75"/>
      <c r="E93" s="75"/>
      <c r="F93" s="75">
        <f>SUM(B93:E93)</f>
        <v>170100</v>
      </c>
      <c r="H93" s="75">
        <v>170100</v>
      </c>
      <c r="I93" s="75"/>
      <c r="J93" s="75"/>
      <c r="K93" s="75"/>
      <c r="L93" s="75">
        <f>SUM(H93:K93)</f>
        <v>170100</v>
      </c>
      <c r="N93" s="75">
        <v>225750</v>
      </c>
      <c r="O93" s="75"/>
      <c r="P93" s="75"/>
      <c r="Q93" s="75"/>
      <c r="R93" s="75">
        <f>SUM(N93:Q93)</f>
        <v>225750</v>
      </c>
      <c r="T93" s="75">
        <v>0</v>
      </c>
      <c r="U93" s="75"/>
      <c r="V93" s="75"/>
      <c r="W93" s="75"/>
      <c r="X93" s="75">
        <f>SUM(T93:W93)</f>
        <v>0</v>
      </c>
      <c r="Z93" s="75"/>
      <c r="AA93" s="75"/>
      <c r="AB93" s="75"/>
      <c r="AC93" s="75"/>
      <c r="AD93" s="75">
        <f>SUM(Z93:AC93)</f>
        <v>0</v>
      </c>
      <c r="AF93" s="75">
        <f>B93+H93+N93+T93+Z93</f>
        <v>565950</v>
      </c>
      <c r="AG93" s="75">
        <f t="shared" ref="AG93:AI93" si="108">C93+I93+O93+U93+AA93</f>
        <v>0</v>
      </c>
      <c r="AH93" s="75">
        <f t="shared" si="108"/>
        <v>0</v>
      </c>
      <c r="AI93" s="75">
        <f t="shared" si="108"/>
        <v>0</v>
      </c>
      <c r="AJ93" s="75">
        <f>SUM(AF93:AI93)</f>
        <v>565950</v>
      </c>
    </row>
    <row r="94" spans="1:36" x14ac:dyDescent="0.25">
      <c r="A94" s="21" t="s">
        <v>77</v>
      </c>
      <c r="B94" s="63">
        <f>(105000+87550)*1.03</f>
        <v>198326.5</v>
      </c>
      <c r="C94" s="63"/>
      <c r="D94" s="63"/>
      <c r="E94" s="63"/>
      <c r="F94" s="75">
        <f t="shared" ref="F94:F108" si="109">SUM(B94:E94)</f>
        <v>198326.5</v>
      </c>
      <c r="H94" s="63">
        <f>((98000+90000+95000)+85000)*1.03</f>
        <v>379040</v>
      </c>
      <c r="I94" s="63"/>
      <c r="J94" s="63"/>
      <c r="K94" s="63"/>
      <c r="L94" s="75">
        <f t="shared" ref="L94:L108" si="110">SUM(H94:K94)</f>
        <v>379040</v>
      </c>
      <c r="N94" s="63">
        <f>(105000+105000+105000+110000+83000)*1.03</f>
        <v>523240</v>
      </c>
      <c r="O94" s="63"/>
      <c r="P94" s="63"/>
      <c r="Q94" s="63"/>
      <c r="R94" s="75">
        <f t="shared" ref="R94:R108" si="111">SUM(N94:Q94)</f>
        <v>523240</v>
      </c>
      <c r="T94" s="63">
        <v>130000</v>
      </c>
      <c r="U94" s="63"/>
      <c r="V94" s="63"/>
      <c r="W94" s="63"/>
      <c r="X94" s="75">
        <f t="shared" ref="X94:X108" si="112">SUM(T94:W94)</f>
        <v>130000</v>
      </c>
      <c r="Z94" s="63"/>
      <c r="AA94" s="63">
        <v>120000</v>
      </c>
      <c r="AB94" s="63"/>
      <c r="AC94" s="63"/>
      <c r="AD94" s="75">
        <f t="shared" ref="AD94:AD108" si="113">SUM(Z94:AC94)</f>
        <v>120000</v>
      </c>
      <c r="AF94" s="75">
        <f t="shared" ref="AF94:AF108" si="114">B94+H94+N94+T94+Z94</f>
        <v>1230606.5</v>
      </c>
      <c r="AG94" s="75">
        <f t="shared" ref="AG94:AG108" si="115">C94+I94+O94+U94+AA94</f>
        <v>120000</v>
      </c>
      <c r="AH94" s="75">
        <f t="shared" ref="AH94:AH108" si="116">D94+J94+P94+V94+AB94</f>
        <v>0</v>
      </c>
      <c r="AI94" s="75">
        <f t="shared" ref="AI94:AI108" si="117">E94+K94+Q94+W94+AC94</f>
        <v>0</v>
      </c>
      <c r="AJ94" s="75">
        <f t="shared" ref="AJ94:AJ108" si="118">SUM(AF94:AI94)</f>
        <v>1350606.5</v>
      </c>
    </row>
    <row r="95" spans="1:36" x14ac:dyDescent="0.25">
      <c r="A95" s="21" t="s">
        <v>39</v>
      </c>
      <c r="B95" s="63">
        <f>(70000+88000)</f>
        <v>158000</v>
      </c>
      <c r="C95" s="63"/>
      <c r="D95" s="63"/>
      <c r="E95" s="63"/>
      <c r="F95" s="75">
        <f t="shared" si="109"/>
        <v>158000</v>
      </c>
      <c r="H95" s="63">
        <f>(71000+65000)</f>
        <v>136000</v>
      </c>
      <c r="I95" s="63"/>
      <c r="J95" s="63"/>
      <c r="K95" s="63"/>
      <c r="L95" s="75">
        <f t="shared" si="110"/>
        <v>136000</v>
      </c>
      <c r="N95" s="63">
        <f>80350*N44</f>
        <v>401750</v>
      </c>
      <c r="O95" s="63"/>
      <c r="P95" s="63"/>
      <c r="Q95" s="63"/>
      <c r="R95" s="75">
        <f t="shared" si="111"/>
        <v>401750</v>
      </c>
      <c r="T95" s="63"/>
      <c r="U95" s="63"/>
      <c r="V95" s="63"/>
      <c r="W95" s="63"/>
      <c r="X95" s="75">
        <f t="shared" si="112"/>
        <v>0</v>
      </c>
      <c r="Z95" s="63"/>
      <c r="AA95" s="63"/>
      <c r="AB95" s="63"/>
      <c r="AC95" s="63">
        <v>200000</v>
      </c>
      <c r="AD95" s="75">
        <f t="shared" si="113"/>
        <v>200000</v>
      </c>
      <c r="AF95" s="75">
        <f t="shared" si="114"/>
        <v>695750</v>
      </c>
      <c r="AG95" s="75">
        <f t="shared" si="115"/>
        <v>0</v>
      </c>
      <c r="AH95" s="75">
        <f t="shared" si="116"/>
        <v>0</v>
      </c>
      <c r="AI95" s="75">
        <f t="shared" si="117"/>
        <v>200000</v>
      </c>
      <c r="AJ95" s="75">
        <f t="shared" si="118"/>
        <v>895750</v>
      </c>
    </row>
    <row r="96" spans="1:36" x14ac:dyDescent="0.25">
      <c r="A96" s="21" t="s">
        <v>78</v>
      </c>
      <c r="B96" s="63">
        <f>(75000+43000)</f>
        <v>118000</v>
      </c>
      <c r="C96" s="63"/>
      <c r="D96" s="63"/>
      <c r="E96" s="63"/>
      <c r="F96" s="75">
        <f t="shared" si="109"/>
        <v>118000</v>
      </c>
      <c r="H96" s="63">
        <f>(60000+75000)</f>
        <v>135000</v>
      </c>
      <c r="I96" s="63"/>
      <c r="J96" s="63"/>
      <c r="K96" s="63"/>
      <c r="L96" s="75">
        <f t="shared" si="110"/>
        <v>135000</v>
      </c>
      <c r="N96" s="63"/>
      <c r="O96" s="63"/>
      <c r="P96" s="63"/>
      <c r="Q96" s="63"/>
      <c r="R96" s="75">
        <f t="shared" si="111"/>
        <v>0</v>
      </c>
      <c r="T96" s="63"/>
      <c r="U96" s="63"/>
      <c r="V96" s="63"/>
      <c r="W96" s="63"/>
      <c r="X96" s="75">
        <f t="shared" si="112"/>
        <v>0</v>
      </c>
      <c r="Z96" s="63">
        <v>72100</v>
      </c>
      <c r="AA96" s="63"/>
      <c r="AB96" s="63"/>
      <c r="AC96" s="63"/>
      <c r="AD96" s="75">
        <f t="shared" si="113"/>
        <v>72100</v>
      </c>
      <c r="AF96" s="75">
        <f t="shared" si="114"/>
        <v>325100</v>
      </c>
      <c r="AG96" s="75">
        <f t="shared" si="115"/>
        <v>0</v>
      </c>
      <c r="AH96" s="75">
        <f t="shared" si="116"/>
        <v>0</v>
      </c>
      <c r="AI96" s="75">
        <f t="shared" si="117"/>
        <v>0</v>
      </c>
      <c r="AJ96" s="75">
        <f t="shared" si="118"/>
        <v>325100</v>
      </c>
    </row>
    <row r="97" spans="1:36" x14ac:dyDescent="0.25">
      <c r="A97" s="21" t="s">
        <v>79</v>
      </c>
      <c r="B97" s="63">
        <v>0</v>
      </c>
      <c r="C97" s="63"/>
      <c r="D97" s="63"/>
      <c r="E97" s="63"/>
      <c r="F97" s="75">
        <f t="shared" si="109"/>
        <v>0</v>
      </c>
      <c r="H97" s="63"/>
      <c r="I97" s="63"/>
      <c r="J97" s="63"/>
      <c r="K97" s="63"/>
      <c r="L97" s="75">
        <f t="shared" si="110"/>
        <v>0</v>
      </c>
      <c r="N97" s="63"/>
      <c r="O97" s="63"/>
      <c r="P97" s="63"/>
      <c r="Q97" s="63"/>
      <c r="R97" s="75">
        <f t="shared" si="111"/>
        <v>0</v>
      </c>
      <c r="T97" s="63"/>
      <c r="U97" s="63"/>
      <c r="V97" s="63"/>
      <c r="W97" s="63"/>
      <c r="X97" s="75">
        <f t="shared" si="112"/>
        <v>0</v>
      </c>
      <c r="Z97" s="63"/>
      <c r="AA97" s="63"/>
      <c r="AB97" s="63"/>
      <c r="AC97" s="63"/>
      <c r="AD97" s="75">
        <f t="shared" si="113"/>
        <v>0</v>
      </c>
      <c r="AF97" s="75">
        <f t="shared" si="114"/>
        <v>0</v>
      </c>
      <c r="AG97" s="75">
        <f t="shared" si="115"/>
        <v>0</v>
      </c>
      <c r="AH97" s="75">
        <f t="shared" si="116"/>
        <v>0</v>
      </c>
      <c r="AI97" s="75">
        <f t="shared" si="117"/>
        <v>0</v>
      </c>
      <c r="AJ97" s="75">
        <f t="shared" si="118"/>
        <v>0</v>
      </c>
    </row>
    <row r="98" spans="1:36" x14ac:dyDescent="0.25">
      <c r="A98" s="21" t="s">
        <v>80</v>
      </c>
      <c r="B98" s="63">
        <f>(70000+62000+52000+40000)</f>
        <v>224000</v>
      </c>
      <c r="C98" s="63"/>
      <c r="D98" s="63"/>
      <c r="E98" s="63"/>
      <c r="F98" s="75">
        <f t="shared" si="109"/>
        <v>224000</v>
      </c>
      <c r="H98" s="63">
        <f>(81000+61800+51500+58500)</f>
        <v>252800</v>
      </c>
      <c r="I98" s="63"/>
      <c r="J98" s="63"/>
      <c r="K98" s="63"/>
      <c r="L98" s="75">
        <f t="shared" si="110"/>
        <v>252800</v>
      </c>
      <c r="N98" s="63">
        <f>(86000+44000+60000+55000)+60000</f>
        <v>305000</v>
      </c>
      <c r="O98" s="63"/>
      <c r="P98" s="63"/>
      <c r="Q98" s="63"/>
      <c r="R98" s="75">
        <f t="shared" si="111"/>
        <v>305000</v>
      </c>
      <c r="T98" s="63">
        <f>(50000+50000)</f>
        <v>100000</v>
      </c>
      <c r="U98" s="63"/>
      <c r="V98" s="63"/>
      <c r="W98" s="63"/>
      <c r="X98" s="75">
        <f t="shared" si="112"/>
        <v>100000</v>
      </c>
      <c r="Z98" s="63">
        <v>87500</v>
      </c>
      <c r="AA98" s="63"/>
      <c r="AB98" s="63"/>
      <c r="AC98" s="63"/>
      <c r="AD98" s="75">
        <f t="shared" si="113"/>
        <v>87500</v>
      </c>
      <c r="AF98" s="75">
        <f t="shared" si="114"/>
        <v>969300</v>
      </c>
      <c r="AG98" s="75">
        <f t="shared" si="115"/>
        <v>0</v>
      </c>
      <c r="AH98" s="75">
        <f t="shared" si="116"/>
        <v>0</v>
      </c>
      <c r="AI98" s="75">
        <f t="shared" si="117"/>
        <v>0</v>
      </c>
      <c r="AJ98" s="75">
        <f t="shared" si="118"/>
        <v>969300</v>
      </c>
    </row>
    <row r="99" spans="1:36" x14ac:dyDescent="0.25">
      <c r="A99" s="21" t="s">
        <v>81</v>
      </c>
      <c r="B99" s="63">
        <f>(24*8*190)*(B48+B49)+1300</f>
        <v>110740</v>
      </c>
      <c r="C99" s="63"/>
      <c r="D99" s="63"/>
      <c r="E99" s="63"/>
      <c r="F99" s="75">
        <f t="shared" si="109"/>
        <v>110740</v>
      </c>
      <c r="H99" s="63">
        <f>(24*8*190)*(H48+H49)</f>
        <v>109440</v>
      </c>
      <c r="I99" s="63"/>
      <c r="J99" s="63"/>
      <c r="K99" s="63"/>
      <c r="L99" s="75">
        <f t="shared" si="110"/>
        <v>109440</v>
      </c>
      <c r="N99" s="63">
        <f>(21*8*190)*(N48+N49)+61800</f>
        <v>285240</v>
      </c>
      <c r="O99" s="63"/>
      <c r="P99" s="63"/>
      <c r="Q99" s="63"/>
      <c r="R99" s="75">
        <f t="shared" si="111"/>
        <v>285240</v>
      </c>
      <c r="T99" s="63">
        <f>((22*8*210)*(T48+T49))</f>
        <v>36960</v>
      </c>
      <c r="U99" s="63"/>
      <c r="V99" s="63"/>
      <c r="W99" s="63"/>
      <c r="X99" s="75">
        <f t="shared" si="112"/>
        <v>36960</v>
      </c>
      <c r="Z99" s="63"/>
      <c r="AA99" s="63"/>
      <c r="AB99" s="63"/>
      <c r="AC99" s="63"/>
      <c r="AD99" s="75">
        <f t="shared" si="113"/>
        <v>0</v>
      </c>
      <c r="AF99" s="75">
        <f t="shared" si="114"/>
        <v>542380</v>
      </c>
      <c r="AG99" s="75">
        <f t="shared" si="115"/>
        <v>0</v>
      </c>
      <c r="AH99" s="75">
        <f t="shared" si="116"/>
        <v>0</v>
      </c>
      <c r="AI99" s="75">
        <f t="shared" si="117"/>
        <v>0</v>
      </c>
      <c r="AJ99" s="75">
        <f t="shared" si="118"/>
        <v>542380</v>
      </c>
    </row>
    <row r="100" spans="1:36" x14ac:dyDescent="0.25">
      <c r="A100" s="21" t="s">
        <v>82</v>
      </c>
      <c r="B100" s="63"/>
      <c r="C100" s="63"/>
      <c r="D100" s="63"/>
      <c r="E100" s="63"/>
      <c r="F100" s="75">
        <f t="shared" si="109"/>
        <v>0</v>
      </c>
      <c r="H100" s="63"/>
      <c r="I100" s="63"/>
      <c r="J100" s="63"/>
      <c r="K100" s="63"/>
      <c r="L100" s="75">
        <f t="shared" si="110"/>
        <v>0</v>
      </c>
      <c r="N100" s="63">
        <v>50000</v>
      </c>
      <c r="O100" s="63"/>
      <c r="P100" s="63"/>
      <c r="Q100" s="63"/>
      <c r="R100" s="75">
        <f t="shared" si="111"/>
        <v>50000</v>
      </c>
      <c r="T100" s="63"/>
      <c r="U100" s="63"/>
      <c r="V100" s="63"/>
      <c r="W100" s="63"/>
      <c r="X100" s="75">
        <f t="shared" si="112"/>
        <v>0</v>
      </c>
      <c r="Z100" s="63"/>
      <c r="AA100" s="63"/>
      <c r="AB100" s="63"/>
      <c r="AC100" s="63"/>
      <c r="AD100" s="75">
        <f t="shared" si="113"/>
        <v>0</v>
      </c>
      <c r="AF100" s="75">
        <f t="shared" si="114"/>
        <v>50000</v>
      </c>
      <c r="AG100" s="75">
        <f t="shared" si="115"/>
        <v>0</v>
      </c>
      <c r="AH100" s="75">
        <f t="shared" si="116"/>
        <v>0</v>
      </c>
      <c r="AI100" s="75">
        <f t="shared" si="117"/>
        <v>0</v>
      </c>
      <c r="AJ100" s="75">
        <f t="shared" si="118"/>
        <v>50000</v>
      </c>
    </row>
    <row r="101" spans="1:36" x14ac:dyDescent="0.25">
      <c r="A101" s="21" t="s">
        <v>83</v>
      </c>
      <c r="B101" s="63">
        <f>(21*8*240)*B51</f>
        <v>161280</v>
      </c>
      <c r="C101" s="63"/>
      <c r="D101" s="63"/>
      <c r="E101" s="63"/>
      <c r="F101" s="75">
        <f t="shared" si="109"/>
        <v>161280</v>
      </c>
      <c r="H101" s="63">
        <f>(21*8*240)*H51</f>
        <v>120960</v>
      </c>
      <c r="I101" s="63"/>
      <c r="J101" s="63"/>
      <c r="K101" s="63"/>
      <c r="L101" s="75">
        <f t="shared" si="110"/>
        <v>120960</v>
      </c>
      <c r="N101" s="63">
        <f>(21*8*240)*(N51-2)+(47500+61800)</f>
        <v>512500</v>
      </c>
      <c r="O101" s="63"/>
      <c r="P101" s="63"/>
      <c r="Q101" s="63"/>
      <c r="R101" s="75">
        <f t="shared" si="111"/>
        <v>512500</v>
      </c>
      <c r="T101" s="63">
        <f>(20*8*240)*T51</f>
        <v>57600</v>
      </c>
      <c r="U101" s="63"/>
      <c r="V101" s="63">
        <v>0</v>
      </c>
      <c r="W101" s="63"/>
      <c r="X101" s="75">
        <f t="shared" si="112"/>
        <v>57600</v>
      </c>
      <c r="Z101" s="63">
        <v>80500</v>
      </c>
      <c r="AA101" s="63"/>
      <c r="AB101" s="63"/>
      <c r="AC101" s="63"/>
      <c r="AD101" s="75">
        <f t="shared" si="113"/>
        <v>80500</v>
      </c>
      <c r="AF101" s="75">
        <f t="shared" si="114"/>
        <v>932840</v>
      </c>
      <c r="AG101" s="75">
        <f t="shared" si="115"/>
        <v>0</v>
      </c>
      <c r="AH101" s="75">
        <f t="shared" si="116"/>
        <v>0</v>
      </c>
      <c r="AI101" s="75">
        <f t="shared" si="117"/>
        <v>0</v>
      </c>
      <c r="AJ101" s="75">
        <f t="shared" si="118"/>
        <v>932840</v>
      </c>
    </row>
    <row r="102" spans="1:36" x14ac:dyDescent="0.25">
      <c r="A102" s="21" t="s">
        <v>84</v>
      </c>
      <c r="B102" s="63"/>
      <c r="C102" s="63"/>
      <c r="D102" s="63">
        <f>(21*8*180*2)+(29*8*180)</f>
        <v>102240</v>
      </c>
      <c r="E102" s="63"/>
      <c r="F102" s="75">
        <f t="shared" si="109"/>
        <v>102240</v>
      </c>
      <c r="H102" s="63"/>
      <c r="I102" s="63"/>
      <c r="J102" s="63">
        <f>(21*8*180*2)+(29*8*180)</f>
        <v>102240</v>
      </c>
      <c r="K102" s="63"/>
      <c r="L102" s="75">
        <f t="shared" si="110"/>
        <v>102240</v>
      </c>
      <c r="N102" s="63"/>
      <c r="O102" s="63"/>
      <c r="P102" s="63">
        <f>(21*8*180*8)+(36*8*180)</f>
        <v>293760</v>
      </c>
      <c r="Q102" s="63"/>
      <c r="R102" s="75">
        <f t="shared" si="111"/>
        <v>293760</v>
      </c>
      <c r="T102" s="63"/>
      <c r="U102" s="63"/>
      <c r="V102" s="63"/>
      <c r="W102" s="63"/>
      <c r="X102" s="75">
        <f t="shared" si="112"/>
        <v>0</v>
      </c>
      <c r="Z102" s="63"/>
      <c r="AA102" s="63"/>
      <c r="AB102" s="63">
        <v>64375</v>
      </c>
      <c r="AC102" s="63"/>
      <c r="AD102" s="75">
        <f t="shared" si="113"/>
        <v>64375</v>
      </c>
      <c r="AF102" s="75">
        <f t="shared" si="114"/>
        <v>0</v>
      </c>
      <c r="AG102" s="75">
        <f t="shared" si="115"/>
        <v>0</v>
      </c>
      <c r="AH102" s="75">
        <f t="shared" si="116"/>
        <v>562615</v>
      </c>
      <c r="AI102" s="75">
        <f t="shared" si="117"/>
        <v>0</v>
      </c>
      <c r="AJ102" s="75">
        <f t="shared" si="118"/>
        <v>562615</v>
      </c>
    </row>
    <row r="103" spans="1:36" x14ac:dyDescent="0.25">
      <c r="A103" s="21" t="s">
        <v>85</v>
      </c>
      <c r="B103" s="63"/>
      <c r="C103" s="63"/>
      <c r="D103" s="63"/>
      <c r="E103" s="63"/>
      <c r="F103" s="75">
        <f t="shared" si="109"/>
        <v>0</v>
      </c>
      <c r="H103" s="63"/>
      <c r="I103" s="63"/>
      <c r="J103" s="63"/>
      <c r="K103" s="63"/>
      <c r="L103" s="75">
        <f t="shared" si="110"/>
        <v>0</v>
      </c>
      <c r="N103" s="63"/>
      <c r="O103" s="63"/>
      <c r="P103" s="63"/>
      <c r="Q103" s="63"/>
      <c r="R103" s="75">
        <f t="shared" si="111"/>
        <v>0</v>
      </c>
      <c r="T103" s="63"/>
      <c r="U103" s="63"/>
      <c r="V103" s="63"/>
      <c r="W103" s="63"/>
      <c r="X103" s="75">
        <f t="shared" si="112"/>
        <v>0</v>
      </c>
      <c r="Z103" s="63"/>
      <c r="AA103" s="63"/>
      <c r="AB103" s="63"/>
      <c r="AC103" s="63"/>
      <c r="AD103" s="75">
        <f t="shared" si="113"/>
        <v>0</v>
      </c>
      <c r="AF103" s="75">
        <f t="shared" si="114"/>
        <v>0</v>
      </c>
      <c r="AG103" s="75">
        <f t="shared" si="115"/>
        <v>0</v>
      </c>
      <c r="AH103" s="75">
        <f t="shared" si="116"/>
        <v>0</v>
      </c>
      <c r="AI103" s="75">
        <f t="shared" si="117"/>
        <v>0</v>
      </c>
      <c r="AJ103" s="75">
        <f t="shared" si="118"/>
        <v>0</v>
      </c>
    </row>
    <row r="104" spans="1:36" x14ac:dyDescent="0.25">
      <c r="A104" s="21" t="s">
        <v>49</v>
      </c>
      <c r="B104" s="63"/>
      <c r="C104" s="63">
        <v>92700</v>
      </c>
      <c r="D104" s="63"/>
      <c r="E104" s="63"/>
      <c r="F104" s="75">
        <f t="shared" si="109"/>
        <v>92700</v>
      </c>
      <c r="H104" s="63"/>
      <c r="I104" s="63">
        <v>92700</v>
      </c>
      <c r="J104" s="63"/>
      <c r="K104" s="63"/>
      <c r="L104" s="75">
        <f t="shared" si="110"/>
        <v>92700</v>
      </c>
      <c r="N104" s="63"/>
      <c r="O104" s="63">
        <v>83100</v>
      </c>
      <c r="P104" s="63"/>
      <c r="Q104" s="63"/>
      <c r="R104" s="75">
        <f t="shared" si="111"/>
        <v>83100</v>
      </c>
      <c r="T104" s="63"/>
      <c r="U104" s="63"/>
      <c r="V104" s="63"/>
      <c r="W104" s="63"/>
      <c r="X104" s="75">
        <f t="shared" si="112"/>
        <v>0</v>
      </c>
      <c r="Z104" s="63"/>
      <c r="AA104" s="63"/>
      <c r="AB104" s="63"/>
      <c r="AC104" s="63"/>
      <c r="AD104" s="75">
        <f t="shared" si="113"/>
        <v>0</v>
      </c>
      <c r="AF104" s="75">
        <f t="shared" si="114"/>
        <v>0</v>
      </c>
      <c r="AG104" s="75">
        <f t="shared" si="115"/>
        <v>268500</v>
      </c>
      <c r="AH104" s="75">
        <f t="shared" si="116"/>
        <v>0</v>
      </c>
      <c r="AI104" s="75">
        <f t="shared" si="117"/>
        <v>0</v>
      </c>
      <c r="AJ104" s="75">
        <f t="shared" si="118"/>
        <v>268500</v>
      </c>
    </row>
    <row r="105" spans="1:36" x14ac:dyDescent="0.25">
      <c r="A105" s="21" t="s">
        <v>86</v>
      </c>
      <c r="B105" s="63"/>
      <c r="C105" s="63">
        <v>65000</v>
      </c>
      <c r="D105" s="63"/>
      <c r="E105" s="63"/>
      <c r="F105" s="75">
        <f t="shared" si="109"/>
        <v>65000</v>
      </c>
      <c r="H105" s="63"/>
      <c r="I105" s="63">
        <v>65000</v>
      </c>
      <c r="J105" s="63"/>
      <c r="K105" s="63"/>
      <c r="L105" s="75">
        <f t="shared" si="110"/>
        <v>65000</v>
      </c>
      <c r="N105" s="63"/>
      <c r="O105" s="63">
        <v>65000</v>
      </c>
      <c r="P105" s="63"/>
      <c r="Q105" s="63"/>
      <c r="R105" s="75">
        <f t="shared" si="111"/>
        <v>65000</v>
      </c>
      <c r="T105" s="63"/>
      <c r="U105" s="63"/>
      <c r="V105" s="63"/>
      <c r="W105" s="63"/>
      <c r="X105" s="75">
        <f t="shared" si="112"/>
        <v>0</v>
      </c>
      <c r="Z105" s="63"/>
      <c r="AA105" s="63"/>
      <c r="AB105" s="63"/>
      <c r="AC105" s="63"/>
      <c r="AD105" s="75">
        <f t="shared" si="113"/>
        <v>0</v>
      </c>
      <c r="AF105" s="75">
        <f t="shared" si="114"/>
        <v>0</v>
      </c>
      <c r="AG105" s="75">
        <f t="shared" si="115"/>
        <v>195000</v>
      </c>
      <c r="AH105" s="75">
        <f t="shared" si="116"/>
        <v>0</v>
      </c>
      <c r="AI105" s="75">
        <f t="shared" si="117"/>
        <v>0</v>
      </c>
      <c r="AJ105" s="75">
        <f t="shared" si="118"/>
        <v>195000</v>
      </c>
    </row>
    <row r="106" spans="1:36" x14ac:dyDescent="0.25">
      <c r="A106" s="21" t="s">
        <v>87</v>
      </c>
      <c r="B106" s="63"/>
      <c r="C106" s="63">
        <v>46000</v>
      </c>
      <c r="D106" s="63"/>
      <c r="E106" s="63"/>
      <c r="F106" s="75">
        <f t="shared" si="109"/>
        <v>46000</v>
      </c>
      <c r="H106" s="63"/>
      <c r="I106" s="63">
        <v>46000</v>
      </c>
      <c r="J106" s="63"/>
      <c r="K106" s="63"/>
      <c r="L106" s="75">
        <f t="shared" si="110"/>
        <v>46000</v>
      </c>
      <c r="N106" s="63"/>
      <c r="O106" s="63">
        <v>98000</v>
      </c>
      <c r="P106" s="63"/>
      <c r="Q106" s="63"/>
      <c r="R106" s="75">
        <f t="shared" si="111"/>
        <v>98000</v>
      </c>
      <c r="T106" s="63"/>
      <c r="U106" s="63"/>
      <c r="V106" s="63"/>
      <c r="W106" s="63"/>
      <c r="X106" s="75">
        <f t="shared" si="112"/>
        <v>0</v>
      </c>
      <c r="Z106" s="63"/>
      <c r="AA106" s="63">
        <f>80000+90000</f>
        <v>170000</v>
      </c>
      <c r="AB106" s="63"/>
      <c r="AC106" s="63"/>
      <c r="AD106" s="75">
        <f t="shared" si="113"/>
        <v>170000</v>
      </c>
      <c r="AF106" s="75">
        <f t="shared" si="114"/>
        <v>0</v>
      </c>
      <c r="AG106" s="75">
        <f t="shared" si="115"/>
        <v>360000</v>
      </c>
      <c r="AH106" s="75">
        <f t="shared" si="116"/>
        <v>0</v>
      </c>
      <c r="AI106" s="75">
        <f t="shared" si="117"/>
        <v>0</v>
      </c>
      <c r="AJ106" s="75">
        <f t="shared" si="118"/>
        <v>360000</v>
      </c>
    </row>
    <row r="107" spans="1:36" x14ac:dyDescent="0.25">
      <c r="A107" s="21" t="s">
        <v>53</v>
      </c>
      <c r="B107" s="63"/>
      <c r="C107" s="63"/>
      <c r="D107" s="63"/>
      <c r="E107" s="63"/>
      <c r="F107" s="75">
        <f t="shared" si="109"/>
        <v>0</v>
      </c>
      <c r="H107" s="63"/>
      <c r="I107" s="63"/>
      <c r="J107" s="63"/>
      <c r="K107" s="63"/>
      <c r="L107" s="75">
        <f t="shared" si="110"/>
        <v>0</v>
      </c>
      <c r="N107" s="63">
        <v>90700</v>
      </c>
      <c r="O107" s="63"/>
      <c r="P107" s="63"/>
      <c r="Q107" s="63"/>
      <c r="R107" s="75">
        <f t="shared" si="111"/>
        <v>90700</v>
      </c>
      <c r="T107" s="63"/>
      <c r="U107" s="63"/>
      <c r="V107" s="63"/>
      <c r="W107" s="63"/>
      <c r="X107" s="75">
        <f t="shared" si="112"/>
        <v>0</v>
      </c>
      <c r="Z107" s="63"/>
      <c r="AA107" s="63"/>
      <c r="AB107" s="63"/>
      <c r="AC107" s="63"/>
      <c r="AD107" s="75">
        <f t="shared" si="113"/>
        <v>0</v>
      </c>
      <c r="AF107" s="75">
        <f t="shared" si="114"/>
        <v>90700</v>
      </c>
      <c r="AG107" s="75">
        <f t="shared" si="115"/>
        <v>0</v>
      </c>
      <c r="AH107" s="75">
        <f t="shared" si="116"/>
        <v>0</v>
      </c>
      <c r="AI107" s="75">
        <f t="shared" si="117"/>
        <v>0</v>
      </c>
      <c r="AJ107" s="75">
        <f t="shared" si="118"/>
        <v>90700</v>
      </c>
    </row>
    <row r="108" spans="1:36" x14ac:dyDescent="0.25">
      <c r="A108" s="22" t="s">
        <v>88</v>
      </c>
      <c r="B108" s="64">
        <f>47000+(24*7.5*230)</f>
        <v>88400</v>
      </c>
      <c r="C108" s="64"/>
      <c r="D108" s="64"/>
      <c r="E108" s="64"/>
      <c r="F108" s="75">
        <f t="shared" si="109"/>
        <v>88400</v>
      </c>
      <c r="H108" s="64">
        <v>65000</v>
      </c>
      <c r="I108" s="64"/>
      <c r="J108" s="64"/>
      <c r="K108" s="64"/>
      <c r="L108" s="75">
        <f t="shared" si="110"/>
        <v>65000</v>
      </c>
      <c r="N108" s="64">
        <v>61800</v>
      </c>
      <c r="O108" s="64"/>
      <c r="P108" s="64"/>
      <c r="Q108" s="64"/>
      <c r="R108" s="75">
        <f t="shared" si="111"/>
        <v>61800</v>
      </c>
      <c r="T108" s="64"/>
      <c r="U108" s="64"/>
      <c r="V108" s="64"/>
      <c r="W108" s="64"/>
      <c r="X108" s="75">
        <f t="shared" si="112"/>
        <v>0</v>
      </c>
      <c r="Z108" s="64"/>
      <c r="AA108" s="64"/>
      <c r="AB108" s="64"/>
      <c r="AC108" s="64"/>
      <c r="AD108" s="75">
        <f t="shared" si="113"/>
        <v>0</v>
      </c>
      <c r="AF108" s="75">
        <f t="shared" si="114"/>
        <v>215200</v>
      </c>
      <c r="AG108" s="75">
        <f t="shared" si="115"/>
        <v>0</v>
      </c>
      <c r="AH108" s="75">
        <f t="shared" si="116"/>
        <v>0</v>
      </c>
      <c r="AI108" s="75">
        <f t="shared" si="117"/>
        <v>0</v>
      </c>
      <c r="AJ108" s="75">
        <f t="shared" si="118"/>
        <v>215200</v>
      </c>
    </row>
    <row r="109" spans="1:36" x14ac:dyDescent="0.25">
      <c r="A109" s="27"/>
      <c r="B109" s="76">
        <f t="shared" ref="B109:E109" si="119">SUM(B93:B108)</f>
        <v>1228846.5</v>
      </c>
      <c r="C109" s="76">
        <f t="shared" si="119"/>
        <v>203700</v>
      </c>
      <c r="D109" s="76">
        <f t="shared" si="119"/>
        <v>102240</v>
      </c>
      <c r="E109" s="76">
        <f t="shared" si="119"/>
        <v>0</v>
      </c>
      <c r="F109" s="76">
        <f t="shared" ref="F109" si="120">SUM(F93:F108)</f>
        <v>1534786.5</v>
      </c>
      <c r="H109" s="76">
        <f t="shared" ref="H109:K109" si="121">SUM(H93:H108)</f>
        <v>1368340</v>
      </c>
      <c r="I109" s="76">
        <f t="shared" si="121"/>
        <v>203700</v>
      </c>
      <c r="J109" s="76">
        <f t="shared" si="121"/>
        <v>102240</v>
      </c>
      <c r="K109" s="76">
        <f t="shared" si="121"/>
        <v>0</v>
      </c>
      <c r="L109" s="76">
        <f t="shared" ref="L109" si="122">SUM(L93:L108)</f>
        <v>1674280</v>
      </c>
      <c r="N109" s="76">
        <f t="shared" ref="N109:Q109" si="123">SUM(N93:N108)</f>
        <v>2455980</v>
      </c>
      <c r="O109" s="76">
        <f t="shared" si="123"/>
        <v>246100</v>
      </c>
      <c r="P109" s="76">
        <f t="shared" si="123"/>
        <v>293760</v>
      </c>
      <c r="Q109" s="76">
        <f t="shared" si="123"/>
        <v>0</v>
      </c>
      <c r="R109" s="76">
        <f t="shared" ref="R109" si="124">SUM(R93:R108)</f>
        <v>2995840</v>
      </c>
      <c r="T109" s="76">
        <f t="shared" ref="T109:W109" si="125">SUM(T93:T108)</f>
        <v>324560</v>
      </c>
      <c r="U109" s="76">
        <f t="shared" si="125"/>
        <v>0</v>
      </c>
      <c r="V109" s="76">
        <f t="shared" si="125"/>
        <v>0</v>
      </c>
      <c r="W109" s="76">
        <f t="shared" si="125"/>
        <v>0</v>
      </c>
      <c r="X109" s="76">
        <f t="shared" ref="X109" si="126">SUM(X93:X108)</f>
        <v>324560</v>
      </c>
      <c r="Z109" s="76">
        <f t="shared" ref="Z109:AC109" si="127">SUM(Z93:Z108)</f>
        <v>240100</v>
      </c>
      <c r="AA109" s="76">
        <f t="shared" si="127"/>
        <v>290000</v>
      </c>
      <c r="AB109" s="76">
        <f t="shared" si="127"/>
        <v>64375</v>
      </c>
      <c r="AC109" s="76">
        <f t="shared" si="127"/>
        <v>200000</v>
      </c>
      <c r="AD109" s="76">
        <f t="shared" ref="AD109" si="128">SUM(AD93:AD108)</f>
        <v>794475</v>
      </c>
      <c r="AF109" s="76">
        <f t="shared" ref="AF109:AI109" si="129">SUM(AF93:AF108)</f>
        <v>5617826.5</v>
      </c>
      <c r="AG109" s="76">
        <f t="shared" si="129"/>
        <v>943500</v>
      </c>
      <c r="AH109" s="76">
        <f t="shared" si="129"/>
        <v>562615</v>
      </c>
      <c r="AI109" s="76">
        <f t="shared" si="129"/>
        <v>200000</v>
      </c>
      <c r="AJ109" s="76">
        <f t="shared" ref="AJ109" si="130">SUM(AJ93:AJ108)</f>
        <v>7323941.5</v>
      </c>
    </row>
    <row r="110" spans="1:36" x14ac:dyDescent="0.25">
      <c r="A110" s="20" t="s">
        <v>89</v>
      </c>
      <c r="B110" s="75">
        <f>B109*0.3675</f>
        <v>451601.08875</v>
      </c>
      <c r="C110" s="75">
        <f t="shared" ref="C110:E110" si="131">C109*0.3675</f>
        <v>74859.75</v>
      </c>
      <c r="D110" s="75">
        <f t="shared" si="131"/>
        <v>37573.199999999997</v>
      </c>
      <c r="E110" s="75">
        <f t="shared" si="131"/>
        <v>0</v>
      </c>
      <c r="F110" s="75">
        <f>SUM(B110:E110)</f>
        <v>564034.03874999995</v>
      </c>
      <c r="H110" s="75">
        <f>H109*0.3675</f>
        <v>502864.95</v>
      </c>
      <c r="I110" s="75">
        <f t="shared" ref="I110:K110" si="132">I109*0.3675</f>
        <v>74859.75</v>
      </c>
      <c r="J110" s="75">
        <f t="shared" si="132"/>
        <v>37573.199999999997</v>
      </c>
      <c r="K110" s="75">
        <f t="shared" si="132"/>
        <v>0</v>
      </c>
      <c r="L110" s="75">
        <f>SUM(H110:K110)</f>
        <v>615297.89999999991</v>
      </c>
      <c r="N110" s="75">
        <f>((N109-N93)*0.3675)+(N93*0.1)</f>
        <v>842184.52500000002</v>
      </c>
      <c r="O110" s="75">
        <f t="shared" ref="O110:Q110" si="133">O109*0.3675</f>
        <v>90441.75</v>
      </c>
      <c r="P110" s="75">
        <f t="shared" si="133"/>
        <v>107956.8</v>
      </c>
      <c r="Q110" s="75">
        <f t="shared" si="133"/>
        <v>0</v>
      </c>
      <c r="R110" s="75">
        <f>SUM(N110:Q110)</f>
        <v>1040583.0750000001</v>
      </c>
      <c r="T110" s="75">
        <f t="shared" ref="T110:W110" si="134">T109*0.3675</f>
        <v>119275.8</v>
      </c>
      <c r="U110" s="75">
        <f t="shared" si="134"/>
        <v>0</v>
      </c>
      <c r="V110" s="75">
        <f t="shared" si="134"/>
        <v>0</v>
      </c>
      <c r="W110" s="75">
        <f t="shared" si="134"/>
        <v>0</v>
      </c>
      <c r="X110" s="75">
        <f>SUM(T110:W110)</f>
        <v>119275.8</v>
      </c>
      <c r="Z110" s="60">
        <f>Z109*0.3675</f>
        <v>88236.75</v>
      </c>
      <c r="AA110" s="60">
        <f t="shared" ref="AA110:AC110" si="135">AA109*0.3675</f>
        <v>106575</v>
      </c>
      <c r="AB110" s="60">
        <f t="shared" si="135"/>
        <v>23657.8125</v>
      </c>
      <c r="AC110" s="60">
        <f t="shared" si="135"/>
        <v>73500</v>
      </c>
      <c r="AD110" s="75">
        <f>SUM(Z110:AC110)</f>
        <v>291969.5625</v>
      </c>
      <c r="AF110" s="60">
        <f>B110+H110+N110+T110+Z110</f>
        <v>2004163.1137500003</v>
      </c>
      <c r="AG110" s="60">
        <f t="shared" ref="AG110:AI110" si="136">C110+I110+O110+U110+AA110</f>
        <v>346736.25</v>
      </c>
      <c r="AH110" s="60">
        <f t="shared" si="136"/>
        <v>206761.01250000001</v>
      </c>
      <c r="AI110" s="60">
        <f t="shared" si="136"/>
        <v>73500</v>
      </c>
      <c r="AJ110" s="75">
        <f>SUM(AF110:AI110)</f>
        <v>2631160.3762500007</v>
      </c>
    </row>
    <row r="111" spans="1:36" x14ac:dyDescent="0.25">
      <c r="A111" s="21" t="s">
        <v>90</v>
      </c>
      <c r="B111" s="61">
        <f>(((8150*(B64*0.9))+((185*(B64*0.85))+((75*(B64*0.85))+(B65*7)+(B109*0.015)+(B109*0.03)))))</f>
        <v>218315.5925</v>
      </c>
      <c r="C111" s="61">
        <f>(((8150*(C64*0.9))+((185*(C64*0.875))+((75*(C64*0.85))+(C65*7)+(C109*0.015)+(C109*0.03)))))</f>
        <v>28155.5625</v>
      </c>
      <c r="D111" s="61">
        <f>(((8150*(D64*0.85))+((185*(D64*0.85))+((75*(D64*0.85))+(D65*7)+(D109*0.015)+(D109*0.03)))))</f>
        <v>26067.3</v>
      </c>
      <c r="E111" s="61">
        <f t="shared" ref="E111" si="137">(((8150*(E64*0.85))+((185*(E64*0.85))+((75*(E64*0.85))+(E65*7)+(E109*0.015)+(E109*0.03)))))</f>
        <v>0</v>
      </c>
      <c r="F111" s="75">
        <f t="shared" ref="F111:F115" si="138">SUM(B111:E111)</f>
        <v>272538.45500000002</v>
      </c>
      <c r="H111" s="61">
        <f>(((8150*(H64*0.9))+((185*(H64*0.875))+((75*(H64*0.85))+(H65*7)+(H109*0.015)+(H109*0.03)))))</f>
        <v>205769.67499999999</v>
      </c>
      <c r="I111" s="61">
        <f>(((8150*(I64*0.9))+((185*(I64*0.875))+((75*(I64*0.85))+(I65*7)+(I109*0.015)+(I109*0.03)))))</f>
        <v>28152.0625</v>
      </c>
      <c r="J111" s="61">
        <f>(((8150*(J64*0.85))+((185*(J64*0.85))+((75*(J64*0.85))+(J65*7)+(J109*0.015)+(J109*0.03)))))</f>
        <v>26067.3</v>
      </c>
      <c r="K111" s="61">
        <f t="shared" ref="K111" si="139">(((8150*(K64*0.85))+((185*(K64*0.85))+((75*(K64*0.85))+(K65*7)+(K109*0.015)+(K109*0.03)))))</f>
        <v>0</v>
      </c>
      <c r="L111" s="75">
        <f t="shared" ref="L111:L115" si="140">SUM(H111:K111)</f>
        <v>259989.03749999998</v>
      </c>
      <c r="N111" s="61">
        <f>(((8150*(N64*0.9))+((185*(N64*0.875))+((75*(N64*0.85))+(N65*7)+(N109*0.015)+(N109*0.03)))))</f>
        <v>414050.1</v>
      </c>
      <c r="O111" s="61">
        <f>(((8150*(O64*0.9))+((185*(O64*0.875))+((75*(O64*0.85))+(O65*7)+(O109*0.015)+(O109*0.03)))))</f>
        <v>33959.375</v>
      </c>
      <c r="P111" s="61">
        <f>(((8150*(P64*0.875))+((185*(P64*0.85))+((75*(P64*0.85))+(P65*7)+(P109*0.015)+(P109*0.03)))))-2500</f>
        <v>76952.45</v>
      </c>
      <c r="Q111" s="61">
        <f t="shared" ref="Q111" si="141">(((8150*(Q64*0.85))+((185*(Q64*0.85))+((75*(Q64*0.85))+(Q65*7)+(Q109*0.015)+(Q109*0.03)))))</f>
        <v>0</v>
      </c>
      <c r="R111" s="75">
        <f t="shared" ref="R111:R115" si="142">SUM(N111:Q111)</f>
        <v>524961.92499999993</v>
      </c>
      <c r="T111" s="61">
        <f>T109*0.17</f>
        <v>55175.200000000004</v>
      </c>
      <c r="U111" s="61">
        <f t="shared" ref="U111:W111" si="143">U109*0.165</f>
        <v>0</v>
      </c>
      <c r="V111" s="61">
        <f>V109*0.15</f>
        <v>0</v>
      </c>
      <c r="W111" s="61">
        <f t="shared" si="143"/>
        <v>0</v>
      </c>
      <c r="X111" s="75">
        <f t="shared" ref="X111:X115" si="144">SUM(T111:W111)</f>
        <v>55175.200000000004</v>
      </c>
      <c r="Z111" s="61">
        <f>Z109*0.16</f>
        <v>38416</v>
      </c>
      <c r="AA111" s="61">
        <f t="shared" ref="AA111:AB111" si="145">AA109*0.16</f>
        <v>46400</v>
      </c>
      <c r="AB111" s="61">
        <f t="shared" si="145"/>
        <v>10300</v>
      </c>
      <c r="AC111" s="61">
        <f>AC109*0.15</f>
        <v>30000</v>
      </c>
      <c r="AD111" s="75">
        <f t="shared" ref="AD111:AD115" si="146">SUM(Z111:AC111)</f>
        <v>125116</v>
      </c>
      <c r="AF111" s="60">
        <f t="shared" ref="AF111:AF115" si="147">B111+H111+N111+T111+Z111</f>
        <v>931726.56749999989</v>
      </c>
      <c r="AG111" s="60">
        <f t="shared" ref="AG111:AG115" si="148">C111+I111+O111+U111+AA111</f>
        <v>136667</v>
      </c>
      <c r="AH111" s="60">
        <f t="shared" ref="AH111:AH115" si="149">D111+J111+P111+V111+AB111</f>
        <v>139387.04999999999</v>
      </c>
      <c r="AI111" s="60">
        <f t="shared" ref="AI111:AI115" si="150">E111+K111+Q111+W111+AC111</f>
        <v>30000</v>
      </c>
      <c r="AJ111" s="75">
        <f t="shared" ref="AJ111:AJ115" si="151">SUM(AF111:AI111)</f>
        <v>1237780.6174999999</v>
      </c>
    </row>
    <row r="112" spans="1:36" x14ac:dyDescent="0.25">
      <c r="A112" s="21" t="s">
        <v>91</v>
      </c>
      <c r="B112" s="61">
        <f>(2500*B39)+(2000*B40)+((1500*(B42+B44+B45))+((1250*(B46+B47))+((1250*(B54+B53+B55+B56+B57+B58+B60))+((500*(B51+B49+B48))))))+(1000*5)</f>
        <v>28625</v>
      </c>
      <c r="C112" s="61">
        <f>(2500*C39)+(2000*C40)+((1500*(C42+C44+C45))+((1250*(C46+C47))+((1250*(C54+C53+C55+C56+C57+C58+C60))+((500*(C51+C49+C48))))))+(1000*2)</f>
        <v>5125</v>
      </c>
      <c r="D112" s="61">
        <f>(2500*D39)+(2000*D40)+((1500*(D42+D44+D45))+((1250*(D46+D47))+((1250*(D54+D53+D55+D56+D57+D58+D60))+((500*(D52))))))+(1000*1)</f>
        <v>2500</v>
      </c>
      <c r="E112" s="61">
        <f>(2500*E39)+(2000*E40)+((1500*(E42+E44+E45))+((1250*(E46+E47))+((1250*(E54+E53+E55+E56+E57+E58+E60))+((500*(E51+E49+E48))))))</f>
        <v>0</v>
      </c>
      <c r="F112" s="75">
        <f t="shared" si="138"/>
        <v>36250</v>
      </c>
      <c r="H112" s="61">
        <f>(2500*H39)+(2000*H40)+((1500*(H42+H44+H45))+((1250*(H46+H47))+((1250*(H54+H53+H55+H56+H57+H58+H60))+((500*(H51+H49+H48))))))+(1000*5)</f>
        <v>28000</v>
      </c>
      <c r="I112" s="61">
        <f>(2500*I39)+(2000*I40)+((1500*(I42+I44+I45))+((1250*(I46+I47))+((1250*(I54+I53+I55+I56+I57+I58+I60))+((500*(I51+I49+I48))))))+(1000*2)</f>
        <v>5125</v>
      </c>
      <c r="J112" s="61">
        <f>(2500*J39)+(2000*J40)+((1500*(J42+J44+J45))+((1250*(J46+J47))+((1250*(J54+J53+J55+J56+J57+J58+J60))+((500*(J52))))))+(1000*1)</f>
        <v>2500</v>
      </c>
      <c r="K112" s="61">
        <f>(2500*K39)+(2000*K40)+((1500*(K42+K44+K45))+((1250*(K46+K47))+((1250*(K54+K53+K55+K56+K57+K58+K60))+((500*(K51+K49+K48))))))</f>
        <v>0</v>
      </c>
      <c r="L112" s="75">
        <f t="shared" si="140"/>
        <v>35625</v>
      </c>
      <c r="N112" s="61">
        <f>(2500*N39)+(2000*N40)+((1500*(N42+N44+N45))+((1250*(N46+N47))+((1250*(N54+N53+N55+N56+N57+N58+N60))+((500*(N51+N49+N48))))))+(1000*5)</f>
        <v>43250</v>
      </c>
      <c r="O112" s="61">
        <f>(2500*O39)+(2000*O40)+((1500*(O42+O44+O45))+((1250*(O46+O47))+((1250*(O54+O53+O55+O56+O57+O58+O60))+((500*(O51+O49+O48))))))+(1000*2)</f>
        <v>5750</v>
      </c>
      <c r="P112" s="61">
        <f>(2500*P39)+(2000*P40)+((1500*(P42+P44+P45))+((1250*(P46+P47))+((1250*(P54+P53+P55+P56+P57+P58+P60))+((500*(P52))))))+(1000*1)</f>
        <v>5500</v>
      </c>
      <c r="Q112" s="61">
        <f>(2500*Q39)+(2000*Q40)+((1500*(Q42+Q44+Q45))+((1250*(Q46+Q47))+((1250*(Q54+Q53+Q55+Q56+Q57+Q58+Q60))+((500*(Q51+Q49+Q48))))))</f>
        <v>0</v>
      </c>
      <c r="R112" s="75">
        <f t="shared" si="142"/>
        <v>54500</v>
      </c>
      <c r="T112" s="61">
        <v>1000</v>
      </c>
      <c r="U112" s="61">
        <v>0</v>
      </c>
      <c r="V112" s="61">
        <v>0</v>
      </c>
      <c r="W112" s="61">
        <f>(2500*W39)+(2000*W40)+((1500*(W42+W44+W45))+((1250*(W46+W47))+((1250*(W54+W53+W55+W56+W57+W58+W60))+((500*(W51+W49+W48))))))</f>
        <v>0</v>
      </c>
      <c r="X112" s="75">
        <f t="shared" si="144"/>
        <v>1000</v>
      </c>
      <c r="Z112" s="61">
        <f>(2500*Z39)+(2000*Z40)+((1500*(Z42+Z44+Z45))+((1250*(Z46+Z47))+((1250*(Z54+Z53+Z55+Z56+Z57+Z58+Z60))+((500*(Z51+Z49+Z48))))))</f>
        <v>3250</v>
      </c>
      <c r="AA112" s="61">
        <f>(2500*AA39)+(2000*AA40)+((1500*(AA42+AA44+AA45))+((1250*(AA46+AA47))+((1250*(AA54+AA53+AA55+AA56+AA57+AA58+AA60))+((500*(AA51+AA49+AA48))))))</f>
        <v>4500</v>
      </c>
      <c r="AB112" s="61">
        <f>(2500*AB39)+(2000*AB40)+((1500*(AB42+AB44+AB45))+((1250*(AB46+AB47))+((1250*(AB54+AB53+AB55+AB56+AB57+AB58+AB60))+((500*(AB52))))))+(1000*1)</f>
        <v>1500</v>
      </c>
      <c r="AC112" s="61">
        <f>(2500*AC39)+(2000*AC40)+((1500*(AC42+AC44+AC45))+((1250*(AC46+AC47))+((1250*(AC54+AC53+AC55+AC56+AC57+AC58+AC60))+((500*(AC51+AC49+AC48))))))</f>
        <v>3000</v>
      </c>
      <c r="AD112" s="75">
        <f t="shared" si="146"/>
        <v>12250</v>
      </c>
      <c r="AF112" s="60">
        <f t="shared" si="147"/>
        <v>104125</v>
      </c>
      <c r="AG112" s="60">
        <f t="shared" si="148"/>
        <v>20500</v>
      </c>
      <c r="AH112" s="60">
        <f t="shared" si="149"/>
        <v>12000</v>
      </c>
      <c r="AI112" s="60">
        <f t="shared" si="150"/>
        <v>3000</v>
      </c>
      <c r="AJ112" s="75">
        <f t="shared" si="151"/>
        <v>139625</v>
      </c>
    </row>
    <row r="113" spans="1:36" x14ac:dyDescent="0.25">
      <c r="A113" s="21" t="s">
        <v>92</v>
      </c>
      <c r="B113" s="61">
        <f>250*B64</f>
        <v>5375</v>
      </c>
      <c r="C113" s="61">
        <f t="shared" ref="C113:E113" si="152">250*C64</f>
        <v>625</v>
      </c>
      <c r="D113" s="61">
        <f t="shared" si="152"/>
        <v>750</v>
      </c>
      <c r="E113" s="61">
        <f t="shared" si="152"/>
        <v>0</v>
      </c>
      <c r="F113" s="75">
        <f t="shared" si="138"/>
        <v>6750</v>
      </c>
      <c r="H113" s="61">
        <f>250*H64</f>
        <v>4750</v>
      </c>
      <c r="I113" s="61">
        <f t="shared" ref="I113:K113" si="153">250*I64</f>
        <v>625</v>
      </c>
      <c r="J113" s="61">
        <f t="shared" si="153"/>
        <v>750</v>
      </c>
      <c r="K113" s="61">
        <f t="shared" si="153"/>
        <v>0</v>
      </c>
      <c r="L113" s="75">
        <f t="shared" si="140"/>
        <v>6125</v>
      </c>
      <c r="N113" s="61">
        <f>250*N64</f>
        <v>10000</v>
      </c>
      <c r="O113" s="61">
        <f t="shared" ref="O113:Q113" si="154">250*O64</f>
        <v>750</v>
      </c>
      <c r="P113" s="61">
        <f t="shared" si="154"/>
        <v>2250</v>
      </c>
      <c r="Q113" s="61">
        <f t="shared" si="154"/>
        <v>0</v>
      </c>
      <c r="R113" s="75">
        <f t="shared" si="142"/>
        <v>13000</v>
      </c>
      <c r="T113" s="61">
        <f>250*T64</f>
        <v>1375</v>
      </c>
      <c r="U113" s="61">
        <f t="shared" ref="U113:W113" si="155">250*U64</f>
        <v>0</v>
      </c>
      <c r="V113" s="61">
        <f t="shared" si="155"/>
        <v>0</v>
      </c>
      <c r="W113" s="61">
        <f t="shared" si="155"/>
        <v>0</v>
      </c>
      <c r="X113" s="75">
        <f t="shared" si="144"/>
        <v>1375</v>
      </c>
      <c r="Z113" s="61">
        <f>250*Z64</f>
        <v>750</v>
      </c>
      <c r="AA113" s="61">
        <f t="shared" ref="AA113:AC113" si="156">250*AA64</f>
        <v>750</v>
      </c>
      <c r="AB113" s="61">
        <f t="shared" si="156"/>
        <v>250</v>
      </c>
      <c r="AC113" s="61">
        <f t="shared" si="156"/>
        <v>500</v>
      </c>
      <c r="AD113" s="75">
        <f t="shared" si="146"/>
        <v>2250</v>
      </c>
      <c r="AF113" s="60">
        <f t="shared" si="147"/>
        <v>22250</v>
      </c>
      <c r="AG113" s="60">
        <f t="shared" si="148"/>
        <v>2750</v>
      </c>
      <c r="AH113" s="60">
        <f t="shared" si="149"/>
        <v>4000</v>
      </c>
      <c r="AI113" s="60">
        <f t="shared" si="150"/>
        <v>500</v>
      </c>
      <c r="AJ113" s="75">
        <f t="shared" si="151"/>
        <v>29500</v>
      </c>
    </row>
    <row r="114" spans="1:36" x14ac:dyDescent="0.25">
      <c r="A114" s="21" t="s">
        <v>93</v>
      </c>
      <c r="B114" s="63"/>
      <c r="C114" s="63"/>
      <c r="D114" s="63"/>
      <c r="E114" s="63"/>
      <c r="F114" s="75">
        <f t="shared" si="138"/>
        <v>0</v>
      </c>
      <c r="H114" s="63"/>
      <c r="I114" s="63"/>
      <c r="J114" s="63"/>
      <c r="K114" s="63"/>
      <c r="L114" s="75">
        <f t="shared" si="140"/>
        <v>0</v>
      </c>
      <c r="N114" s="63"/>
      <c r="O114" s="63"/>
      <c r="P114" s="63"/>
      <c r="Q114" s="63"/>
      <c r="R114" s="75">
        <f t="shared" si="142"/>
        <v>0</v>
      </c>
      <c r="T114" s="63"/>
      <c r="U114" s="63"/>
      <c r="V114" s="63"/>
      <c r="W114" s="63"/>
      <c r="X114" s="75">
        <f t="shared" si="144"/>
        <v>0</v>
      </c>
      <c r="Z114" s="61">
        <v>0</v>
      </c>
      <c r="AA114" s="61"/>
      <c r="AB114" s="61"/>
      <c r="AC114" s="61"/>
      <c r="AD114" s="75">
        <f t="shared" si="146"/>
        <v>0</v>
      </c>
      <c r="AF114" s="60">
        <f t="shared" si="147"/>
        <v>0</v>
      </c>
      <c r="AG114" s="60">
        <f t="shared" si="148"/>
        <v>0</v>
      </c>
      <c r="AH114" s="60">
        <f t="shared" si="149"/>
        <v>0</v>
      </c>
      <c r="AI114" s="60">
        <f t="shared" si="150"/>
        <v>0</v>
      </c>
      <c r="AJ114" s="75">
        <f t="shared" si="151"/>
        <v>0</v>
      </c>
    </row>
    <row r="115" spans="1:36" x14ac:dyDescent="0.25">
      <c r="A115" s="22" t="s">
        <v>94</v>
      </c>
      <c r="B115" s="64">
        <v>1500</v>
      </c>
      <c r="C115" s="64"/>
      <c r="D115" s="64"/>
      <c r="E115" s="64"/>
      <c r="F115" s="75">
        <f t="shared" si="138"/>
        <v>1500</v>
      </c>
      <c r="H115" s="64">
        <v>1500</v>
      </c>
      <c r="I115" s="64"/>
      <c r="J115" s="64"/>
      <c r="K115" s="64"/>
      <c r="L115" s="75">
        <f t="shared" si="140"/>
        <v>1500</v>
      </c>
      <c r="N115" s="64">
        <v>5000</v>
      </c>
      <c r="O115" s="64"/>
      <c r="P115" s="64"/>
      <c r="Q115" s="64"/>
      <c r="R115" s="75">
        <f t="shared" si="142"/>
        <v>5000</v>
      </c>
      <c r="T115" s="64">
        <v>1500</v>
      </c>
      <c r="U115" s="64"/>
      <c r="V115" s="64"/>
      <c r="W115" s="64"/>
      <c r="X115" s="75">
        <f t="shared" si="144"/>
        <v>1500</v>
      </c>
      <c r="Z115" s="91"/>
      <c r="AA115" s="91"/>
      <c r="AB115" s="91"/>
      <c r="AC115" s="91"/>
      <c r="AD115" s="75">
        <f t="shared" si="146"/>
        <v>0</v>
      </c>
      <c r="AF115" s="60">
        <f t="shared" si="147"/>
        <v>9500</v>
      </c>
      <c r="AG115" s="60">
        <f t="shared" si="148"/>
        <v>0</v>
      </c>
      <c r="AH115" s="60">
        <f t="shared" si="149"/>
        <v>0</v>
      </c>
      <c r="AI115" s="60">
        <f t="shared" si="150"/>
        <v>0</v>
      </c>
      <c r="AJ115" s="75">
        <f t="shared" si="151"/>
        <v>9500</v>
      </c>
    </row>
    <row r="116" spans="1:36" x14ac:dyDescent="0.25">
      <c r="A116" s="27"/>
      <c r="B116" s="76">
        <f>SUM(B110:B115)</f>
        <v>705416.68125000002</v>
      </c>
      <c r="C116" s="76">
        <f t="shared" ref="C116:E116" si="157">SUM(C110:C115)</f>
        <v>108765.3125</v>
      </c>
      <c r="D116" s="76">
        <f t="shared" si="157"/>
        <v>66890.5</v>
      </c>
      <c r="E116" s="76">
        <f t="shared" si="157"/>
        <v>0</v>
      </c>
      <c r="F116" s="76">
        <f t="shared" ref="F116" si="158">SUM(F110:F115)</f>
        <v>881072.49374999991</v>
      </c>
      <c r="H116" s="76">
        <f>SUM(H110:H115)</f>
        <v>742884.625</v>
      </c>
      <c r="I116" s="76">
        <f t="shared" ref="I116:L116" si="159">SUM(I110:I115)</f>
        <v>108761.8125</v>
      </c>
      <c r="J116" s="76">
        <f t="shared" si="159"/>
        <v>66890.5</v>
      </c>
      <c r="K116" s="76">
        <f t="shared" si="159"/>
        <v>0</v>
      </c>
      <c r="L116" s="76">
        <f t="shared" si="159"/>
        <v>918536.93749999988</v>
      </c>
      <c r="N116" s="76">
        <f>SUM(N110:N115)</f>
        <v>1314484.625</v>
      </c>
      <c r="O116" s="76">
        <f t="shared" ref="O116:R116" si="160">SUM(O110:O115)</f>
        <v>130901.125</v>
      </c>
      <c r="P116" s="76">
        <f t="shared" si="160"/>
        <v>192659.25</v>
      </c>
      <c r="Q116" s="76">
        <f t="shared" si="160"/>
        <v>0</v>
      </c>
      <c r="R116" s="76">
        <f t="shared" si="160"/>
        <v>1638045</v>
      </c>
      <c r="T116" s="76">
        <f>SUM(T110:T115)</f>
        <v>178326</v>
      </c>
      <c r="U116" s="76">
        <f t="shared" ref="U116:X116" si="161">SUM(U110:U115)</f>
        <v>0</v>
      </c>
      <c r="V116" s="76">
        <f t="shared" si="161"/>
        <v>0</v>
      </c>
      <c r="W116" s="76">
        <f t="shared" si="161"/>
        <v>0</v>
      </c>
      <c r="X116" s="76">
        <f t="shared" si="161"/>
        <v>178326</v>
      </c>
      <c r="Z116" s="76">
        <f>SUM(Z110:Z115)</f>
        <v>130652.75</v>
      </c>
      <c r="AA116" s="76">
        <f t="shared" ref="AA116:AD116" si="162">SUM(AA110:AA115)</f>
        <v>158225</v>
      </c>
      <c r="AB116" s="76">
        <f t="shared" si="162"/>
        <v>35707.8125</v>
      </c>
      <c r="AC116" s="76">
        <f t="shared" si="162"/>
        <v>107000</v>
      </c>
      <c r="AD116" s="76">
        <f t="shared" si="162"/>
        <v>431585.5625</v>
      </c>
      <c r="AF116" s="76">
        <f>SUM(AF110:AF115)</f>
        <v>3071764.6812500004</v>
      </c>
      <c r="AG116" s="76">
        <f t="shared" ref="AG116:AJ116" si="163">SUM(AG110:AG115)</f>
        <v>506653.25</v>
      </c>
      <c r="AH116" s="76">
        <f t="shared" si="163"/>
        <v>362148.0625</v>
      </c>
      <c r="AI116" s="76">
        <f t="shared" si="163"/>
        <v>107000</v>
      </c>
      <c r="AJ116" s="76">
        <f t="shared" si="163"/>
        <v>4047565.9937500004</v>
      </c>
    </row>
    <row r="117" spans="1:36" x14ac:dyDescent="0.25">
      <c r="B117" s="77"/>
      <c r="C117" s="77"/>
      <c r="D117" s="77"/>
      <c r="E117" s="77"/>
      <c r="F117" s="77"/>
      <c r="H117" s="77"/>
      <c r="I117" s="77"/>
      <c r="J117" s="77"/>
      <c r="K117" s="77"/>
      <c r="L117" s="77"/>
      <c r="N117" s="77"/>
      <c r="O117" s="77"/>
      <c r="P117" s="77"/>
      <c r="Q117" s="77"/>
      <c r="R117" s="77"/>
      <c r="T117" s="77"/>
      <c r="U117" s="77"/>
      <c r="V117" s="77"/>
      <c r="W117" s="77"/>
      <c r="X117" s="77"/>
      <c r="Z117" s="57"/>
      <c r="AA117" s="57"/>
      <c r="AB117" s="57"/>
      <c r="AC117" s="57"/>
      <c r="AD117" s="77"/>
      <c r="AF117" s="57"/>
      <c r="AG117" s="57"/>
      <c r="AH117" s="57"/>
      <c r="AI117" s="57"/>
      <c r="AJ117" s="77"/>
    </row>
    <row r="118" spans="1:36" x14ac:dyDescent="0.25">
      <c r="A118" s="28"/>
      <c r="B118" s="78" t="s">
        <v>157</v>
      </c>
      <c r="C118" s="78" t="s">
        <v>158</v>
      </c>
      <c r="D118" s="78" t="s">
        <v>159</v>
      </c>
      <c r="E118" s="78" t="str">
        <f>E91</f>
        <v>Other</v>
      </c>
      <c r="F118" s="78" t="str">
        <f>F91</f>
        <v>FY26- Mtn</v>
      </c>
      <c r="H118" s="78" t="s">
        <v>157</v>
      </c>
      <c r="I118" s="78" t="s">
        <v>158</v>
      </c>
      <c r="J118" s="78" t="s">
        <v>159</v>
      </c>
      <c r="K118" s="78" t="str">
        <f>K91</f>
        <v>Other</v>
      </c>
      <c r="L118" s="78" t="str">
        <f>L91</f>
        <v>FY26- Bon</v>
      </c>
      <c r="N118" s="78" t="s">
        <v>157</v>
      </c>
      <c r="O118" s="78" t="s">
        <v>158</v>
      </c>
      <c r="P118" s="78" t="s">
        <v>159</v>
      </c>
      <c r="Q118" s="78" t="str">
        <f>Q91</f>
        <v>Other</v>
      </c>
      <c r="R118" s="78" t="str">
        <f>R91</f>
        <v>FY26- East</v>
      </c>
      <c r="T118" s="78" t="s">
        <v>157</v>
      </c>
      <c r="U118" s="78" t="s">
        <v>158</v>
      </c>
      <c r="V118" s="78" t="s">
        <v>159</v>
      </c>
      <c r="W118" s="78" t="str">
        <f>W91</f>
        <v>Other</v>
      </c>
      <c r="X118" s="78" t="str">
        <f>X91</f>
        <v>FY26- Cactus</v>
      </c>
      <c r="Z118" s="78" t="s">
        <v>157</v>
      </c>
      <c r="AA118" s="78" t="s">
        <v>158</v>
      </c>
      <c r="AB118" s="78" t="s">
        <v>159</v>
      </c>
      <c r="AC118" s="78" t="str">
        <f>AC91</f>
        <v>Grant</v>
      </c>
      <c r="AD118" s="78" t="str">
        <f>AD91</f>
        <v>FY26 - Central</v>
      </c>
      <c r="AF118" s="78" t="s">
        <v>157</v>
      </c>
      <c r="AG118" s="78" t="s">
        <v>158</v>
      </c>
      <c r="AH118" s="78" t="s">
        <v>159</v>
      </c>
      <c r="AI118" s="78" t="str">
        <f>AI91</f>
        <v>Grant</v>
      </c>
      <c r="AJ118" s="78" t="str">
        <f>AJ91</f>
        <v>FY26- Sys</v>
      </c>
    </row>
    <row r="119" spans="1:36" x14ac:dyDescent="0.25">
      <c r="A119" s="20" t="s">
        <v>95</v>
      </c>
      <c r="B119" s="75">
        <f>77250+77250</f>
        <v>154500</v>
      </c>
      <c r="C119" s="75"/>
      <c r="D119" s="75"/>
      <c r="E119" s="75"/>
      <c r="F119" s="75">
        <f>SUM(B119:E119)</f>
        <v>154500</v>
      </c>
      <c r="H119" s="75">
        <f>75000+26000</f>
        <v>101000</v>
      </c>
      <c r="I119" s="75"/>
      <c r="J119" s="75"/>
      <c r="K119" s="75"/>
      <c r="L119" s="75">
        <f>SUM(H119:K119)</f>
        <v>101000</v>
      </c>
      <c r="N119" s="75">
        <f>(80350+77000+87850+72100)</f>
        <v>317300</v>
      </c>
      <c r="O119" s="75"/>
      <c r="P119" s="75"/>
      <c r="Q119" s="75"/>
      <c r="R119" s="75">
        <f>SUM(N119:Q119)</f>
        <v>317300</v>
      </c>
      <c r="T119" s="75">
        <v>80000</v>
      </c>
      <c r="U119" s="75"/>
      <c r="V119" s="75"/>
      <c r="W119" s="75"/>
      <c r="X119" s="75">
        <f>SUM(T119:W119)</f>
        <v>80000</v>
      </c>
      <c r="Z119" s="75"/>
      <c r="AA119" s="75"/>
      <c r="AB119" s="75"/>
      <c r="AC119" s="75">
        <v>300000</v>
      </c>
      <c r="AD119" s="75">
        <f>SUM(Z119:AC119)</f>
        <v>300000</v>
      </c>
      <c r="AF119" s="75">
        <f>B119+H119+N119+T119+Z119</f>
        <v>652800</v>
      </c>
      <c r="AG119" s="75">
        <f t="shared" ref="AG119:AI119" si="164">C119+I119+O119+U119+AA119</f>
        <v>0</v>
      </c>
      <c r="AH119" s="75">
        <f t="shared" si="164"/>
        <v>0</v>
      </c>
      <c r="AI119" s="75">
        <f t="shared" si="164"/>
        <v>300000</v>
      </c>
      <c r="AJ119" s="75">
        <f>SUM(AF119:AI119)</f>
        <v>952800</v>
      </c>
    </row>
    <row r="120" spans="1:36" x14ac:dyDescent="0.25">
      <c r="A120" s="21" t="s">
        <v>36</v>
      </c>
      <c r="B120" s="63">
        <v>85000</v>
      </c>
      <c r="C120" s="63"/>
      <c r="D120" s="63"/>
      <c r="E120" s="63"/>
      <c r="F120" s="75">
        <f t="shared" ref="F120:F124" si="165">SUM(B120:E120)</f>
        <v>85000</v>
      </c>
      <c r="H120" s="63">
        <v>77250</v>
      </c>
      <c r="I120" s="63"/>
      <c r="J120" s="63"/>
      <c r="K120" s="63"/>
      <c r="L120" s="75">
        <f t="shared" ref="L120:L124" si="166">SUM(H120:K120)</f>
        <v>77250</v>
      </c>
      <c r="N120" s="63">
        <v>77250</v>
      </c>
      <c r="O120" s="63"/>
      <c r="P120" s="63"/>
      <c r="Q120" s="63"/>
      <c r="R120" s="75">
        <f t="shared" ref="R120:R124" si="167">SUM(N120:Q120)</f>
        <v>77250</v>
      </c>
      <c r="T120" s="63"/>
      <c r="U120" s="63"/>
      <c r="V120" s="63"/>
      <c r="W120" s="63"/>
      <c r="X120" s="75">
        <f t="shared" ref="X120:X124" si="168">SUM(T120:W120)</f>
        <v>0</v>
      </c>
      <c r="Z120" s="63"/>
      <c r="AA120" s="63"/>
      <c r="AB120" s="63"/>
      <c r="AC120" s="63">
        <v>185000</v>
      </c>
      <c r="AD120" s="75">
        <f t="shared" ref="AD120:AD124" si="169">SUM(Z120:AC120)</f>
        <v>185000</v>
      </c>
      <c r="AF120" s="75">
        <f t="shared" ref="AF120:AF124" si="170">B120+H120+N120+T120+Z120</f>
        <v>239500</v>
      </c>
      <c r="AG120" s="75">
        <f t="shared" ref="AG120:AG124" si="171">C120+I120+O120+U120+AA120</f>
        <v>0</v>
      </c>
      <c r="AH120" s="75">
        <f t="shared" ref="AH120:AH124" si="172">D120+J120+P120+V120+AB120</f>
        <v>0</v>
      </c>
      <c r="AI120" s="75">
        <f t="shared" ref="AI120:AI124" si="173">E120+K120+Q120+W120+AC120</f>
        <v>185000</v>
      </c>
      <c r="AJ120" s="75">
        <f t="shared" ref="AJ120:AJ124" si="174">SUM(AF120:AI120)</f>
        <v>424500</v>
      </c>
    </row>
    <row r="121" spans="1:36" x14ac:dyDescent="0.25">
      <c r="A121" s="21" t="s">
        <v>96</v>
      </c>
      <c r="B121" s="63">
        <f>67500*B36</f>
        <v>3037500</v>
      </c>
      <c r="C121" s="63"/>
      <c r="D121" s="63"/>
      <c r="E121" s="63"/>
      <c r="F121" s="75">
        <f t="shared" si="165"/>
        <v>3037500</v>
      </c>
      <c r="H121" s="63">
        <f>66050*H36</f>
        <v>2972250</v>
      </c>
      <c r="I121" s="63"/>
      <c r="J121" s="63"/>
      <c r="K121" s="63"/>
      <c r="L121" s="75">
        <f t="shared" si="166"/>
        <v>2972250</v>
      </c>
      <c r="N121" s="63">
        <f>66000*N36+8000</f>
        <v>6608000</v>
      </c>
      <c r="O121" s="63"/>
      <c r="P121" s="63"/>
      <c r="Q121" s="63"/>
      <c r="R121" s="75">
        <f t="shared" si="167"/>
        <v>6608000</v>
      </c>
      <c r="T121" s="63">
        <f>57500*T36</f>
        <v>1207500</v>
      </c>
      <c r="U121" s="63"/>
      <c r="V121" s="63"/>
      <c r="W121" s="63"/>
      <c r="X121" s="75">
        <f t="shared" si="168"/>
        <v>1207500</v>
      </c>
      <c r="Z121" s="63"/>
      <c r="AA121" s="63"/>
      <c r="AB121" s="63"/>
      <c r="AC121" s="63"/>
      <c r="AD121" s="75">
        <f t="shared" si="169"/>
        <v>0</v>
      </c>
      <c r="AF121" s="75">
        <f t="shared" si="170"/>
        <v>13825250</v>
      </c>
      <c r="AG121" s="75">
        <f t="shared" si="171"/>
        <v>0</v>
      </c>
      <c r="AH121" s="75">
        <f t="shared" si="172"/>
        <v>0</v>
      </c>
      <c r="AI121" s="75">
        <f t="shared" si="173"/>
        <v>0</v>
      </c>
      <c r="AJ121" s="75">
        <f t="shared" si="174"/>
        <v>13825250</v>
      </c>
    </row>
    <row r="122" spans="1:36" x14ac:dyDescent="0.25">
      <c r="A122" s="21" t="s">
        <v>24</v>
      </c>
      <c r="B122" s="63"/>
      <c r="C122" s="63">
        <f>67500*C28</f>
        <v>337500</v>
      </c>
      <c r="D122" s="63"/>
      <c r="E122" s="63"/>
      <c r="F122" s="75">
        <f t="shared" si="165"/>
        <v>337500</v>
      </c>
      <c r="H122" s="63"/>
      <c r="I122" s="63">
        <f>66000*I28</f>
        <v>264000</v>
      </c>
      <c r="J122" s="63"/>
      <c r="K122" s="63"/>
      <c r="L122" s="75">
        <f t="shared" si="166"/>
        <v>264000</v>
      </c>
      <c r="N122" s="63"/>
      <c r="O122" s="63">
        <f>66000*O28</f>
        <v>858000</v>
      </c>
      <c r="P122" s="63"/>
      <c r="Q122" s="63"/>
      <c r="R122" s="75">
        <f t="shared" si="167"/>
        <v>858000</v>
      </c>
      <c r="T122" s="63"/>
      <c r="U122" s="63">
        <f>60000*U28</f>
        <v>180000</v>
      </c>
      <c r="V122" s="63"/>
      <c r="W122" s="63"/>
      <c r="X122" s="75">
        <f t="shared" si="168"/>
        <v>180000</v>
      </c>
      <c r="Z122" s="63"/>
      <c r="AA122" s="63"/>
      <c r="AB122" s="63"/>
      <c r="AC122" s="63"/>
      <c r="AD122" s="75">
        <f t="shared" si="169"/>
        <v>0</v>
      </c>
      <c r="AF122" s="75">
        <f t="shared" si="170"/>
        <v>0</v>
      </c>
      <c r="AG122" s="75">
        <f t="shared" si="171"/>
        <v>1639500</v>
      </c>
      <c r="AH122" s="75">
        <f t="shared" si="172"/>
        <v>0</v>
      </c>
      <c r="AI122" s="75">
        <f t="shared" si="173"/>
        <v>0</v>
      </c>
      <c r="AJ122" s="75">
        <f t="shared" si="174"/>
        <v>1639500</v>
      </c>
    </row>
    <row r="123" spans="1:36" x14ac:dyDescent="0.25">
      <c r="A123" s="21" t="s">
        <v>97</v>
      </c>
      <c r="B123" s="63">
        <f>(21*8*180)*B50</f>
        <v>332640</v>
      </c>
      <c r="C123" s="63">
        <f>(21*8*180)*C50</f>
        <v>151200</v>
      </c>
      <c r="D123" s="63"/>
      <c r="E123" s="63">
        <f>(20.25*8*180)*E50</f>
        <v>0</v>
      </c>
      <c r="F123" s="75">
        <f t="shared" si="165"/>
        <v>483840</v>
      </c>
      <c r="H123" s="63">
        <f>(21*8*180)*H50</f>
        <v>332640</v>
      </c>
      <c r="I123" s="63">
        <f>(21*8*180)*I50</f>
        <v>166320</v>
      </c>
      <c r="J123" s="63"/>
      <c r="K123" s="63">
        <f>(20.25*8*180)*K50</f>
        <v>0</v>
      </c>
      <c r="L123" s="75">
        <f t="shared" si="166"/>
        <v>498960</v>
      </c>
      <c r="N123" s="63">
        <f>(21*8*180)*N50</f>
        <v>393120</v>
      </c>
      <c r="O123" s="63">
        <f>(21*8*180)*O50</f>
        <v>393120</v>
      </c>
      <c r="P123" s="63"/>
      <c r="Q123" s="63">
        <f>(20.25*8*180)*Q50</f>
        <v>0</v>
      </c>
      <c r="R123" s="75">
        <f t="shared" si="167"/>
        <v>786240</v>
      </c>
      <c r="T123" s="63">
        <f t="shared" ref="T123:W123" si="175">20*8*185*T50</f>
        <v>148000</v>
      </c>
      <c r="U123" s="63">
        <f t="shared" si="175"/>
        <v>88800</v>
      </c>
      <c r="V123" s="63">
        <f t="shared" si="175"/>
        <v>0</v>
      </c>
      <c r="W123" s="63">
        <f t="shared" si="175"/>
        <v>0</v>
      </c>
      <c r="X123" s="75">
        <f t="shared" si="168"/>
        <v>236800</v>
      </c>
      <c r="Z123" s="63">
        <f>45000+(20*8*220)</f>
        <v>80200</v>
      </c>
      <c r="AA123" s="63"/>
      <c r="AB123" s="63"/>
      <c r="AC123" s="63">
        <v>600000</v>
      </c>
      <c r="AD123" s="75">
        <f t="shared" si="169"/>
        <v>680200</v>
      </c>
      <c r="AF123" s="75">
        <f t="shared" si="170"/>
        <v>1286600</v>
      </c>
      <c r="AG123" s="75">
        <f t="shared" si="171"/>
        <v>799440</v>
      </c>
      <c r="AH123" s="75">
        <f t="shared" si="172"/>
        <v>0</v>
      </c>
      <c r="AI123" s="75">
        <f t="shared" si="173"/>
        <v>600000</v>
      </c>
      <c r="AJ123" s="75">
        <f t="shared" si="174"/>
        <v>2686040</v>
      </c>
    </row>
    <row r="124" spans="1:36" x14ac:dyDescent="0.25">
      <c r="A124" s="22" t="s">
        <v>54</v>
      </c>
      <c r="B124" s="64">
        <f>175*180*B59</f>
        <v>63000</v>
      </c>
      <c r="C124" s="64"/>
      <c r="D124" s="64"/>
      <c r="E124" s="64"/>
      <c r="F124" s="75">
        <f t="shared" si="165"/>
        <v>63000</v>
      </c>
      <c r="H124" s="64">
        <f>175*180*H59</f>
        <v>31500</v>
      </c>
      <c r="I124" s="64"/>
      <c r="J124" s="64"/>
      <c r="K124" s="64"/>
      <c r="L124" s="75">
        <f t="shared" si="166"/>
        <v>31500</v>
      </c>
      <c r="N124" s="64">
        <f>175*180*N59</f>
        <v>94500</v>
      </c>
      <c r="O124" s="64"/>
      <c r="P124" s="64"/>
      <c r="Q124" s="64"/>
      <c r="R124" s="75">
        <f t="shared" si="167"/>
        <v>94500</v>
      </c>
      <c r="T124" s="64">
        <f>175*180*T59</f>
        <v>0</v>
      </c>
      <c r="U124" s="64"/>
      <c r="V124" s="64"/>
      <c r="W124" s="64"/>
      <c r="X124" s="75">
        <f t="shared" si="168"/>
        <v>0</v>
      </c>
      <c r="Z124" s="64"/>
      <c r="AA124" s="64"/>
      <c r="AB124" s="64"/>
      <c r="AC124" s="64"/>
      <c r="AD124" s="75">
        <f t="shared" si="169"/>
        <v>0</v>
      </c>
      <c r="AF124" s="75">
        <f t="shared" si="170"/>
        <v>189000</v>
      </c>
      <c r="AG124" s="75">
        <f t="shared" si="171"/>
        <v>0</v>
      </c>
      <c r="AH124" s="75">
        <f t="shared" si="172"/>
        <v>0</v>
      </c>
      <c r="AI124" s="75">
        <f t="shared" si="173"/>
        <v>0</v>
      </c>
      <c r="AJ124" s="75">
        <f t="shared" si="174"/>
        <v>189000</v>
      </c>
    </row>
    <row r="125" spans="1:36" x14ac:dyDescent="0.25">
      <c r="A125" s="29"/>
      <c r="B125" s="76">
        <f t="shared" ref="B125:E125" si="176">SUM(B119:B124)</f>
        <v>3672640</v>
      </c>
      <c r="C125" s="76">
        <f t="shared" si="176"/>
        <v>488700</v>
      </c>
      <c r="D125" s="76">
        <f t="shared" si="176"/>
        <v>0</v>
      </c>
      <c r="E125" s="76">
        <f t="shared" si="176"/>
        <v>0</v>
      </c>
      <c r="F125" s="76">
        <f t="shared" ref="F125" si="177">SUM(F119:F124)</f>
        <v>4161340</v>
      </c>
      <c r="H125" s="76">
        <f t="shared" ref="H125:K125" si="178">SUM(H119:H124)</f>
        <v>3514640</v>
      </c>
      <c r="I125" s="76">
        <f t="shared" si="178"/>
        <v>430320</v>
      </c>
      <c r="J125" s="76">
        <f t="shared" si="178"/>
        <v>0</v>
      </c>
      <c r="K125" s="76">
        <f t="shared" si="178"/>
        <v>0</v>
      </c>
      <c r="L125" s="76">
        <f t="shared" ref="L125" si="179">SUM(L119:L124)</f>
        <v>3944960</v>
      </c>
      <c r="N125" s="76">
        <f t="shared" ref="N125:Q125" si="180">SUM(N119:N124)</f>
        <v>7490170</v>
      </c>
      <c r="O125" s="76">
        <f t="shared" si="180"/>
        <v>1251120</v>
      </c>
      <c r="P125" s="76">
        <f t="shared" si="180"/>
        <v>0</v>
      </c>
      <c r="Q125" s="76">
        <f t="shared" si="180"/>
        <v>0</v>
      </c>
      <c r="R125" s="76">
        <f t="shared" ref="R125" si="181">SUM(R119:R124)</f>
        <v>8741290</v>
      </c>
      <c r="T125" s="76">
        <f t="shared" ref="T125:W125" si="182">SUM(T119:T124)</f>
        <v>1435500</v>
      </c>
      <c r="U125" s="76">
        <f t="shared" si="182"/>
        <v>268800</v>
      </c>
      <c r="V125" s="76">
        <f t="shared" si="182"/>
        <v>0</v>
      </c>
      <c r="W125" s="76">
        <f t="shared" si="182"/>
        <v>0</v>
      </c>
      <c r="X125" s="76">
        <f t="shared" ref="X125" si="183">SUM(X119:X124)</f>
        <v>1704300</v>
      </c>
      <c r="Z125" s="76">
        <f t="shared" ref="Z125:AC125" si="184">SUM(Z119:Z124)</f>
        <v>80200</v>
      </c>
      <c r="AA125" s="76">
        <f t="shared" si="184"/>
        <v>0</v>
      </c>
      <c r="AB125" s="76">
        <f t="shared" si="184"/>
        <v>0</v>
      </c>
      <c r="AC125" s="76">
        <f t="shared" si="184"/>
        <v>1085000</v>
      </c>
      <c r="AD125" s="76">
        <f t="shared" ref="AD125" si="185">SUM(AD119:AD124)</f>
        <v>1165200</v>
      </c>
      <c r="AF125" s="76">
        <f t="shared" ref="AF125:AI125" si="186">SUM(AF119:AF124)</f>
        <v>16193150</v>
      </c>
      <c r="AG125" s="76">
        <f t="shared" si="186"/>
        <v>2438940</v>
      </c>
      <c r="AH125" s="76">
        <f t="shared" si="186"/>
        <v>0</v>
      </c>
      <c r="AI125" s="76">
        <f t="shared" si="186"/>
        <v>1085000</v>
      </c>
      <c r="AJ125" s="76">
        <f t="shared" ref="AJ125" si="187">SUM(AJ119:AJ124)</f>
        <v>19717090</v>
      </c>
    </row>
    <row r="126" spans="1:36" x14ac:dyDescent="0.25">
      <c r="A126" s="20" t="s">
        <v>89</v>
      </c>
      <c r="B126" s="75">
        <f>B125*0.3675</f>
        <v>1349695.2</v>
      </c>
      <c r="C126" s="75">
        <f t="shared" ref="C126:E126" si="188">C125*0.3675</f>
        <v>179597.25</v>
      </c>
      <c r="D126" s="75">
        <f t="shared" si="188"/>
        <v>0</v>
      </c>
      <c r="E126" s="75">
        <f t="shared" si="188"/>
        <v>0</v>
      </c>
      <c r="F126" s="75">
        <f>SUM(B126:E126)</f>
        <v>1529292.45</v>
      </c>
      <c r="H126" s="75">
        <f>H125*0.3675</f>
        <v>1291630.2</v>
      </c>
      <c r="I126" s="75">
        <f t="shared" ref="I126:K126" si="189">I125*0.3675</f>
        <v>158142.6</v>
      </c>
      <c r="J126" s="75">
        <f t="shared" si="189"/>
        <v>0</v>
      </c>
      <c r="K126" s="75">
        <f t="shared" si="189"/>
        <v>0</v>
      </c>
      <c r="L126" s="75">
        <f>SUM(H126:K126)</f>
        <v>1449772.8</v>
      </c>
      <c r="N126" s="75">
        <f>N125*0.3675</f>
        <v>2752637.4750000001</v>
      </c>
      <c r="O126" s="75">
        <f t="shared" ref="O126:Q126" si="190">O125*0.3675</f>
        <v>459786.6</v>
      </c>
      <c r="P126" s="75">
        <f t="shared" si="190"/>
        <v>0</v>
      </c>
      <c r="Q126" s="75">
        <f t="shared" si="190"/>
        <v>0</v>
      </c>
      <c r="R126" s="75">
        <f>SUM(N126:Q126)</f>
        <v>3212424.0750000002</v>
      </c>
      <c r="T126" s="75">
        <f t="shared" ref="T126:W126" si="191">T125*0.3675</f>
        <v>527546.25</v>
      </c>
      <c r="U126" s="75">
        <f t="shared" si="191"/>
        <v>98784</v>
      </c>
      <c r="V126" s="75">
        <f t="shared" si="191"/>
        <v>0</v>
      </c>
      <c r="W126" s="75">
        <f t="shared" si="191"/>
        <v>0</v>
      </c>
      <c r="X126" s="75">
        <f>SUM(T126:W126)</f>
        <v>626330.25</v>
      </c>
      <c r="Z126" s="75">
        <f>Z125*0.3675</f>
        <v>29473.5</v>
      </c>
      <c r="AA126" s="75">
        <f t="shared" ref="AA126:AC126" si="192">AA125*0.3675</f>
        <v>0</v>
      </c>
      <c r="AB126" s="75">
        <f t="shared" si="192"/>
        <v>0</v>
      </c>
      <c r="AC126" s="75">
        <f t="shared" si="192"/>
        <v>398737.5</v>
      </c>
      <c r="AD126" s="75">
        <f>SUM(Z126:AC126)</f>
        <v>428211</v>
      </c>
      <c r="AF126" s="75">
        <f>B126+H126+N126+T126+Z126</f>
        <v>5950982.625</v>
      </c>
      <c r="AG126" s="75">
        <f t="shared" ref="AG126:AI126" si="193">C126+I126+O126+U126+AA126</f>
        <v>896310.45</v>
      </c>
      <c r="AH126" s="75">
        <f t="shared" si="193"/>
        <v>0</v>
      </c>
      <c r="AI126" s="75">
        <f t="shared" si="193"/>
        <v>398737.5</v>
      </c>
      <c r="AJ126" s="75">
        <f>SUM(AF126:AI126)</f>
        <v>7246030.5750000002</v>
      </c>
    </row>
    <row r="127" spans="1:36" x14ac:dyDescent="0.25">
      <c r="A127" s="21" t="s">
        <v>90</v>
      </c>
      <c r="B127" s="61">
        <f>(((8150*(B63*0.9))+((185*(B63*0.875))+((75*(B63*0.85))+(B65*7)+(B125*0.015)+(B125*0.03)))))-2500</f>
        <v>609409.17500000005</v>
      </c>
      <c r="C127" s="61">
        <f>(((8150*(C63*0.875))+((185*(C63*0.875))+((75*(C63*0.85))+(C65*7)+(C125*0.015)+(C125*0.03)))))</f>
        <v>95647.75</v>
      </c>
      <c r="D127" s="61">
        <f>(((8150*(D63*0.85))+((185*(D63*0.85))+((75*(D63*0.85))+(D63*7)+(D125*0.015)+(D125*0.03)))))</f>
        <v>0</v>
      </c>
      <c r="E127" s="61">
        <f t="shared" ref="E127" si="194">(((8150*(E63*0.85))+((185*(E63*0.85))+((75*(E63*0.85))+(E65*7)+(E125*0.015)+(E125*0.03)))))</f>
        <v>0</v>
      </c>
      <c r="F127" s="75">
        <f t="shared" ref="F127:F131" si="195">SUM(B127:E127)</f>
        <v>705056.92500000005</v>
      </c>
      <c r="H127" s="61">
        <f>(((8150*(H63*0.9))+((185*(H63*0.875))+((75*(H63*0.85))+(H65*7)+(H125*0.015)+(H125*0.03)))))-2500</f>
        <v>598497.86250000005</v>
      </c>
      <c r="I127" s="61">
        <f>(((8150*(I63*0.85))+((185*(I63*0.85))+((75*(I63*0.85))+(I65*7)+(I125*0.015)+(I125*0.03)))))</f>
        <v>87359.15</v>
      </c>
      <c r="J127" s="61">
        <f>(((8150*(J63*0.85))+((185*(J63*0.85))+((75*(J63*0.85))+(J63*7)+(J125*0.015)+(J125*0.03)))))</f>
        <v>0</v>
      </c>
      <c r="K127" s="61">
        <f t="shared" ref="K127" si="196">(((8150*(K63*0.85))+((185*(K63*0.85))+((75*(K63*0.85))+(K65*7)+(K125*0.015)+(K125*0.03)))))</f>
        <v>0</v>
      </c>
      <c r="L127" s="75">
        <f t="shared" ref="L127:L131" si="197">SUM(H127:K127)</f>
        <v>685857.01250000007</v>
      </c>
      <c r="N127" s="61">
        <f>(((8150*(N63*0.9))+((185*(N63*0.875))+((75*(N63*0.85))+(N65*7)+(N125*0.015)+(N125*0.03)))))-2500</f>
        <v>1227817.3999999999</v>
      </c>
      <c r="O127" s="61">
        <f>(((8150*(O63*0.9))+((185*(O63*0.875))+((75*(O63*0.85))+(O65*7)+(O125*0.015)+(O125*0.03)))))</f>
        <v>253079.65000000002</v>
      </c>
      <c r="P127" s="61">
        <f>(((8150*(P63*0.85))+((185*(P63*0.85))+((75*(P63*0.85))+(P63*7)+(P125*0.015)+(P125*0.03)))))</f>
        <v>0</v>
      </c>
      <c r="Q127" s="61">
        <f t="shared" ref="Q127" si="198">(((8150*(Q63*0.85))+((185*(Q63*0.85))+((75*(Q63*0.85))+(Q65*7)+(Q125*0.015)+(Q125*0.03)))))</f>
        <v>0</v>
      </c>
      <c r="R127" s="75">
        <f t="shared" ref="R127:R131" si="199">SUM(N127:Q127)</f>
        <v>1480897.0499999998</v>
      </c>
      <c r="T127" s="63">
        <f>T125*0.17</f>
        <v>244035.00000000003</v>
      </c>
      <c r="U127" s="63">
        <f>U125*0.17</f>
        <v>45696</v>
      </c>
      <c r="V127" s="63">
        <f t="shared" ref="V127:W127" si="200">V125*0.1625</f>
        <v>0</v>
      </c>
      <c r="W127" s="63">
        <f t="shared" si="200"/>
        <v>0</v>
      </c>
      <c r="X127" s="75">
        <f t="shared" ref="X127:X131" si="201">SUM(T127:W127)</f>
        <v>289731</v>
      </c>
      <c r="Z127" s="63">
        <f>Z125*0.16</f>
        <v>12832</v>
      </c>
      <c r="AA127" s="63">
        <f t="shared" ref="AA127:AB127" si="202">AA125*0.16</f>
        <v>0</v>
      </c>
      <c r="AB127" s="63">
        <f t="shared" si="202"/>
        <v>0</v>
      </c>
      <c r="AC127" s="63">
        <f>AC125*0.15</f>
        <v>162750</v>
      </c>
      <c r="AD127" s="75">
        <f t="shared" ref="AD127:AD131" si="203">SUM(Z127:AC127)</f>
        <v>175582</v>
      </c>
      <c r="AF127" s="75">
        <f t="shared" ref="AF127:AF131" si="204">B127+H127+N127+T127+Z127</f>
        <v>2692591.4375</v>
      </c>
      <c r="AG127" s="75">
        <f t="shared" ref="AG127:AG131" si="205">C127+I127+O127+U127+AA127</f>
        <v>481782.55000000005</v>
      </c>
      <c r="AH127" s="75">
        <f t="shared" ref="AH127:AH131" si="206">D127+J127+P127+V127+AB127</f>
        <v>0</v>
      </c>
      <c r="AI127" s="75">
        <f t="shared" ref="AI127:AI131" si="207">E127+K127+Q127+W127+AC127</f>
        <v>162750</v>
      </c>
      <c r="AJ127" s="75">
        <f t="shared" ref="AJ127:AJ131" si="208">SUM(AF127:AI127)</f>
        <v>3337123.9874999998</v>
      </c>
    </row>
    <row r="128" spans="1:36" x14ac:dyDescent="0.25">
      <c r="A128" s="21" t="s">
        <v>91</v>
      </c>
      <c r="B128" s="61">
        <f>((1250*B36)+((1500*(B41+B43))+(500*B50)+(1250*B59)))+(1000*8)</f>
        <v>76750</v>
      </c>
      <c r="C128" s="61">
        <f t="shared" ref="C128" si="209">((1250*C36)+((1500*(C41+C43))+(500*C50)+(1250*C59)))+(1000*5)</f>
        <v>13750</v>
      </c>
      <c r="D128" s="61">
        <f>((1250*D36)+((1500*(D41+D43))+(500*D50)+(1250*D59)))</f>
        <v>0</v>
      </c>
      <c r="E128" s="61">
        <f>((1250*E36)+((1500*(E41+E43))+(500*E50)+(1250*E59)))</f>
        <v>0</v>
      </c>
      <c r="F128" s="75">
        <f t="shared" si="195"/>
        <v>90500</v>
      </c>
      <c r="H128" s="61">
        <f>((1250*H36)+((1500*(H41+H43))+(500*H50)+(1250*H59)))+(1000*8)</f>
        <v>74750</v>
      </c>
      <c r="I128" s="61">
        <f t="shared" ref="I128" si="210">((1250*I36)+((1500*(I41+I43))+(500*I50)+(1250*I59)))+(1000*5)</f>
        <v>12750</v>
      </c>
      <c r="J128" s="61">
        <f>((1250*J36)+((1500*(J41+J43))+(500*J50)+(1250*J59)))</f>
        <v>0</v>
      </c>
      <c r="K128" s="61">
        <f>((1250*K36)+((1500*(K41+K43))+(500*K50)+(1250*K59)))</f>
        <v>0</v>
      </c>
      <c r="L128" s="75">
        <f t="shared" si="197"/>
        <v>87500</v>
      </c>
      <c r="N128" s="61">
        <f>((1250*N36)+((1500*(N41+N43))+(500*N50)+(1250*N59)))+(1000*8)</f>
        <v>150750</v>
      </c>
      <c r="O128" s="61">
        <f t="shared" ref="O128" si="211">((1250*O36)+((1500*(O41+O43))+(500*O50)+(1250*O59)))+(1000*5)</f>
        <v>27750</v>
      </c>
      <c r="P128" s="61">
        <f>((1250*P36)+((1500*(P41+P43))+(500*P50)+(1250*P59)))</f>
        <v>0</v>
      </c>
      <c r="Q128" s="61">
        <f>((1250*Q36)+((1500*(Q41+Q43))+(500*Q50)+(1250*Q59)))</f>
        <v>0</v>
      </c>
      <c r="R128" s="75">
        <f t="shared" si="199"/>
        <v>178500</v>
      </c>
      <c r="T128" s="61">
        <v>1000</v>
      </c>
      <c r="U128" s="61">
        <v>0</v>
      </c>
      <c r="V128" s="61">
        <f>((1250*V36)+((1500*(V41+V43))+(500*V50)+(1250*V59)))</f>
        <v>0</v>
      </c>
      <c r="W128" s="61">
        <f>((1250*W36)+((1500*(W41+W43))+(500*W50)+(1250*W59)))</f>
        <v>0</v>
      </c>
      <c r="X128" s="75">
        <f t="shared" si="201"/>
        <v>1000</v>
      </c>
      <c r="Z128" s="61">
        <f>((1250*Z36)+((1500*(Z41+Z43))+(500*Z50)+(1250*Z59)))</f>
        <v>1000</v>
      </c>
      <c r="AA128" s="61">
        <f>((1250*AA36)+((1500*(AA41+AA43))+(500*AA50)+(1250*AA59)))</f>
        <v>0</v>
      </c>
      <c r="AB128" s="61">
        <f>((1250*AB36)+((1500*(AB41+AB43))+(500*AB50)+(1250*AB59)))</f>
        <v>0</v>
      </c>
      <c r="AC128" s="61">
        <f>((1250*AC36)+((1500*(AC41+AC43))+(500*AC50)+(1250*AC59)))</f>
        <v>17500</v>
      </c>
      <c r="AD128" s="75">
        <f t="shared" si="203"/>
        <v>18500</v>
      </c>
      <c r="AF128" s="75">
        <f t="shared" si="204"/>
        <v>304250</v>
      </c>
      <c r="AG128" s="75">
        <f t="shared" si="205"/>
        <v>54250</v>
      </c>
      <c r="AH128" s="75">
        <f t="shared" si="206"/>
        <v>0</v>
      </c>
      <c r="AI128" s="75">
        <f t="shared" si="207"/>
        <v>17500</v>
      </c>
      <c r="AJ128" s="75">
        <f t="shared" si="208"/>
        <v>376000</v>
      </c>
    </row>
    <row r="129" spans="1:36" x14ac:dyDescent="0.25">
      <c r="A129" s="21" t="s">
        <v>92</v>
      </c>
      <c r="B129" s="61">
        <f>250*B63</f>
        <v>14750</v>
      </c>
      <c r="C129" s="61">
        <f t="shared" ref="C129:D129" si="212">250*C63</f>
        <v>2500</v>
      </c>
      <c r="D129" s="61">
        <f t="shared" si="212"/>
        <v>0</v>
      </c>
      <c r="E129" s="61">
        <f>250*E63</f>
        <v>0</v>
      </c>
      <c r="F129" s="75">
        <f t="shared" si="195"/>
        <v>17250</v>
      </c>
      <c r="H129" s="61">
        <f>250*H63</f>
        <v>14625</v>
      </c>
      <c r="I129" s="61">
        <f t="shared" ref="I129:J129" si="213">250*I63</f>
        <v>2375</v>
      </c>
      <c r="J129" s="61">
        <f t="shared" si="213"/>
        <v>0</v>
      </c>
      <c r="K129" s="61">
        <f>250*K63</f>
        <v>0</v>
      </c>
      <c r="L129" s="75">
        <f t="shared" si="197"/>
        <v>17000</v>
      </c>
      <c r="N129" s="61">
        <f>250*N63</f>
        <v>29500</v>
      </c>
      <c r="O129" s="61">
        <f t="shared" ref="O129:P129" si="214">250*O63</f>
        <v>6500</v>
      </c>
      <c r="P129" s="61">
        <f t="shared" si="214"/>
        <v>0</v>
      </c>
      <c r="Q129" s="61">
        <f>250*Q63</f>
        <v>0</v>
      </c>
      <c r="R129" s="75">
        <f t="shared" si="199"/>
        <v>36000</v>
      </c>
      <c r="T129" s="61">
        <f>250*T63</f>
        <v>6750</v>
      </c>
      <c r="U129" s="61">
        <f t="shared" ref="U129:V129" si="215">250*U63</f>
        <v>1500</v>
      </c>
      <c r="V129" s="61">
        <f t="shared" si="215"/>
        <v>0</v>
      </c>
      <c r="W129" s="61">
        <f>250*W63</f>
        <v>0</v>
      </c>
      <c r="X129" s="75">
        <f t="shared" si="201"/>
        <v>8250</v>
      </c>
      <c r="Z129" s="61">
        <f>250*Z63</f>
        <v>500</v>
      </c>
      <c r="AA129" s="61">
        <f t="shared" ref="AA129:AB129" si="216">250*AA63</f>
        <v>0</v>
      </c>
      <c r="AB129" s="61">
        <f t="shared" si="216"/>
        <v>0</v>
      </c>
      <c r="AC129" s="61">
        <f>250*AC63</f>
        <v>6250</v>
      </c>
      <c r="AD129" s="75">
        <f t="shared" si="203"/>
        <v>6750</v>
      </c>
      <c r="AF129" s="75">
        <f t="shared" si="204"/>
        <v>66125</v>
      </c>
      <c r="AG129" s="75">
        <f t="shared" si="205"/>
        <v>12875</v>
      </c>
      <c r="AH129" s="75">
        <f t="shared" si="206"/>
        <v>0</v>
      </c>
      <c r="AI129" s="75">
        <f t="shared" si="207"/>
        <v>6250</v>
      </c>
      <c r="AJ129" s="75">
        <f t="shared" si="208"/>
        <v>85250</v>
      </c>
    </row>
    <row r="130" spans="1:36" x14ac:dyDescent="0.25">
      <c r="A130" s="21" t="s">
        <v>98</v>
      </c>
      <c r="B130" s="63">
        <v>125000</v>
      </c>
      <c r="C130" s="63"/>
      <c r="D130" s="63"/>
      <c r="E130" s="63"/>
      <c r="F130" s="75">
        <f t="shared" si="195"/>
        <v>125000</v>
      </c>
      <c r="H130" s="63">
        <v>50000</v>
      </c>
      <c r="I130" s="63"/>
      <c r="J130" s="63"/>
      <c r="K130" s="63"/>
      <c r="L130" s="75">
        <f t="shared" si="197"/>
        <v>50000</v>
      </c>
      <c r="N130" s="63">
        <v>20000</v>
      </c>
      <c r="O130" s="63"/>
      <c r="P130" s="63"/>
      <c r="Q130" s="63"/>
      <c r="R130" s="75">
        <f t="shared" si="199"/>
        <v>20000</v>
      </c>
      <c r="T130" s="63">
        <v>0</v>
      </c>
      <c r="U130" s="63"/>
      <c r="V130" s="63"/>
      <c r="W130" s="63"/>
      <c r="X130" s="75">
        <f t="shared" si="201"/>
        <v>0</v>
      </c>
      <c r="Z130" s="63"/>
      <c r="AA130" s="63"/>
      <c r="AB130" s="63"/>
      <c r="AC130" s="63"/>
      <c r="AD130" s="75">
        <f t="shared" si="203"/>
        <v>0</v>
      </c>
      <c r="AF130" s="75">
        <f t="shared" si="204"/>
        <v>195000</v>
      </c>
      <c r="AG130" s="75">
        <f t="shared" si="205"/>
        <v>0</v>
      </c>
      <c r="AH130" s="75">
        <f t="shared" si="206"/>
        <v>0</v>
      </c>
      <c r="AI130" s="75">
        <f t="shared" si="207"/>
        <v>0</v>
      </c>
      <c r="AJ130" s="75">
        <f t="shared" si="208"/>
        <v>195000</v>
      </c>
    </row>
    <row r="131" spans="1:36" x14ac:dyDescent="0.25">
      <c r="A131" s="22" t="s">
        <v>94</v>
      </c>
      <c r="B131" s="64">
        <v>8500</v>
      </c>
      <c r="C131" s="64"/>
      <c r="D131" s="64"/>
      <c r="E131" s="64"/>
      <c r="F131" s="75">
        <f t="shared" si="195"/>
        <v>8500</v>
      </c>
      <c r="H131" s="64">
        <v>8500</v>
      </c>
      <c r="I131" s="64"/>
      <c r="J131" s="64"/>
      <c r="K131" s="64"/>
      <c r="L131" s="75">
        <f t="shared" si="197"/>
        <v>8500</v>
      </c>
      <c r="N131" s="64">
        <v>25000</v>
      </c>
      <c r="O131" s="64"/>
      <c r="P131" s="64"/>
      <c r="Q131" s="64"/>
      <c r="R131" s="75">
        <f t="shared" si="199"/>
        <v>25000</v>
      </c>
      <c r="T131" s="64">
        <v>5000</v>
      </c>
      <c r="U131" s="64"/>
      <c r="V131" s="64"/>
      <c r="W131" s="64"/>
      <c r="X131" s="75">
        <f t="shared" si="201"/>
        <v>5000</v>
      </c>
      <c r="Z131" s="64"/>
      <c r="AA131" s="64"/>
      <c r="AB131" s="64"/>
      <c r="AC131" s="64"/>
      <c r="AD131" s="75">
        <f t="shared" si="203"/>
        <v>0</v>
      </c>
      <c r="AF131" s="75">
        <f t="shared" si="204"/>
        <v>47000</v>
      </c>
      <c r="AG131" s="75">
        <f t="shared" si="205"/>
        <v>0</v>
      </c>
      <c r="AH131" s="75">
        <f t="shared" si="206"/>
        <v>0</v>
      </c>
      <c r="AI131" s="75">
        <f t="shared" si="207"/>
        <v>0</v>
      </c>
      <c r="AJ131" s="75">
        <f t="shared" si="208"/>
        <v>47000</v>
      </c>
    </row>
    <row r="132" spans="1:36" x14ac:dyDescent="0.25">
      <c r="A132" s="27"/>
      <c r="B132" s="76">
        <f>SUM(B126:B131)</f>
        <v>2184104.375</v>
      </c>
      <c r="C132" s="76">
        <f t="shared" ref="C132:E132" si="217">SUM(C126:C131)</f>
        <v>291495</v>
      </c>
      <c r="D132" s="76">
        <f t="shared" si="217"/>
        <v>0</v>
      </c>
      <c r="E132" s="76">
        <f t="shared" si="217"/>
        <v>0</v>
      </c>
      <c r="F132" s="76">
        <f t="shared" ref="F132" si="218">SUM(F126:F131)</f>
        <v>2475599.375</v>
      </c>
      <c r="H132" s="76">
        <f>SUM(H126:H131)</f>
        <v>2038003.0625</v>
      </c>
      <c r="I132" s="76">
        <f t="shared" ref="I132:L132" si="219">SUM(I126:I131)</f>
        <v>260626.75</v>
      </c>
      <c r="J132" s="76">
        <f t="shared" si="219"/>
        <v>0</v>
      </c>
      <c r="K132" s="76">
        <f t="shared" si="219"/>
        <v>0</v>
      </c>
      <c r="L132" s="76">
        <f t="shared" si="219"/>
        <v>2298629.8125</v>
      </c>
      <c r="N132" s="76">
        <f>SUM(N126:N131)</f>
        <v>4205704.875</v>
      </c>
      <c r="O132" s="76">
        <f t="shared" ref="O132:R132" si="220">SUM(O126:O131)</f>
        <v>747116.25</v>
      </c>
      <c r="P132" s="76">
        <f t="shared" si="220"/>
        <v>0</v>
      </c>
      <c r="Q132" s="76">
        <f t="shared" si="220"/>
        <v>0</v>
      </c>
      <c r="R132" s="76">
        <f t="shared" si="220"/>
        <v>4952821.125</v>
      </c>
      <c r="T132" s="76">
        <f>SUM(T126:T131)</f>
        <v>784331.25</v>
      </c>
      <c r="U132" s="76">
        <f t="shared" ref="U132:X132" si="221">SUM(U126:U131)</f>
        <v>145980</v>
      </c>
      <c r="V132" s="76">
        <f t="shared" si="221"/>
        <v>0</v>
      </c>
      <c r="W132" s="76">
        <f t="shared" si="221"/>
        <v>0</v>
      </c>
      <c r="X132" s="76">
        <f t="shared" si="221"/>
        <v>930311.25</v>
      </c>
      <c r="Z132" s="76">
        <f>SUM(Z126:Z131)</f>
        <v>43805.5</v>
      </c>
      <c r="AA132" s="76">
        <f t="shared" ref="AA132:AD132" si="222">SUM(AA126:AA131)</f>
        <v>0</v>
      </c>
      <c r="AB132" s="76">
        <f t="shared" si="222"/>
        <v>0</v>
      </c>
      <c r="AC132" s="76">
        <f t="shared" si="222"/>
        <v>585237.5</v>
      </c>
      <c r="AD132" s="76">
        <f t="shared" si="222"/>
        <v>629043</v>
      </c>
      <c r="AF132" s="76">
        <f>SUM(AF126:AF131)</f>
        <v>9255949.0625</v>
      </c>
      <c r="AG132" s="76">
        <f t="shared" ref="AG132:AJ132" si="223">SUM(AG126:AG131)</f>
        <v>1445218</v>
      </c>
      <c r="AH132" s="76">
        <f t="shared" si="223"/>
        <v>0</v>
      </c>
      <c r="AI132" s="76">
        <f t="shared" si="223"/>
        <v>585237.5</v>
      </c>
      <c r="AJ132" s="76">
        <f t="shared" si="223"/>
        <v>11286404.5625</v>
      </c>
    </row>
    <row r="133" spans="1:36" x14ac:dyDescent="0.25">
      <c r="B133" s="79"/>
      <c r="C133" s="79"/>
      <c r="D133" s="79"/>
      <c r="E133" s="79"/>
      <c r="F133" s="79"/>
      <c r="H133" s="79"/>
      <c r="I133" s="79"/>
      <c r="J133" s="79"/>
      <c r="K133" s="79"/>
      <c r="L133" s="79"/>
      <c r="N133" s="79"/>
      <c r="O133" s="79"/>
      <c r="P133" s="79"/>
      <c r="Q133" s="79"/>
      <c r="R133" s="79"/>
      <c r="T133" s="79"/>
      <c r="U133" s="79"/>
      <c r="V133" s="79"/>
      <c r="W133" s="79"/>
      <c r="X133" s="79"/>
      <c r="Z133" s="79"/>
      <c r="AA133" s="79"/>
      <c r="AB133" s="79"/>
      <c r="AC133" s="79"/>
      <c r="AD133" s="79"/>
      <c r="AF133" s="79"/>
      <c r="AG133" s="79"/>
      <c r="AH133" s="79"/>
      <c r="AI133" s="79"/>
      <c r="AJ133" s="79"/>
    </row>
    <row r="134" spans="1:36" x14ac:dyDescent="0.25">
      <c r="A134" s="28"/>
      <c r="B134" s="78" t="s">
        <v>157</v>
      </c>
      <c r="C134" s="78" t="s">
        <v>158</v>
      </c>
      <c r="D134" s="78" t="s">
        <v>159</v>
      </c>
      <c r="E134" s="78" t="str">
        <f>E118</f>
        <v>Other</v>
      </c>
      <c r="F134" s="78" t="str">
        <f>F118</f>
        <v>FY26- Mtn</v>
      </c>
      <c r="H134" s="78" t="s">
        <v>157</v>
      </c>
      <c r="I134" s="78" t="s">
        <v>158</v>
      </c>
      <c r="J134" s="78" t="s">
        <v>159</v>
      </c>
      <c r="K134" s="78" t="str">
        <f>K118</f>
        <v>Other</v>
      </c>
      <c r="L134" s="78" t="str">
        <f>L118</f>
        <v>FY26- Bon</v>
      </c>
      <c r="N134" s="78" t="s">
        <v>157</v>
      </c>
      <c r="O134" s="78" t="s">
        <v>158</v>
      </c>
      <c r="P134" s="78" t="s">
        <v>159</v>
      </c>
      <c r="Q134" s="78" t="str">
        <f>Q118</f>
        <v>Other</v>
      </c>
      <c r="R134" s="78" t="str">
        <f>R118</f>
        <v>FY26- East</v>
      </c>
      <c r="T134" s="78" t="s">
        <v>157</v>
      </c>
      <c r="U134" s="78" t="s">
        <v>158</v>
      </c>
      <c r="V134" s="78" t="s">
        <v>159</v>
      </c>
      <c r="W134" s="78" t="str">
        <f>W118</f>
        <v>Other</v>
      </c>
      <c r="X134" s="78" t="str">
        <f>X118</f>
        <v>FY26- Cactus</v>
      </c>
      <c r="Z134" s="78" t="s">
        <v>157</v>
      </c>
      <c r="AA134" s="78" t="s">
        <v>158</v>
      </c>
      <c r="AB134" s="78" t="s">
        <v>159</v>
      </c>
      <c r="AC134" s="78" t="str">
        <f>AC118</f>
        <v>Grant</v>
      </c>
      <c r="AD134" s="78" t="str">
        <f>AD118</f>
        <v>FY26 - Central</v>
      </c>
      <c r="AF134" s="78" t="s">
        <v>157</v>
      </c>
      <c r="AG134" s="78" t="s">
        <v>158</v>
      </c>
      <c r="AH134" s="78" t="s">
        <v>159</v>
      </c>
      <c r="AI134" s="78" t="str">
        <f>AI118</f>
        <v>Grant</v>
      </c>
      <c r="AJ134" s="78" t="str">
        <f>AJ118</f>
        <v>FY26- Sys</v>
      </c>
    </row>
    <row r="135" spans="1:36" x14ac:dyDescent="0.25">
      <c r="A135" s="30" t="s">
        <v>99</v>
      </c>
      <c r="B135" s="75">
        <f>(225*1050)</f>
        <v>236250</v>
      </c>
      <c r="C135" s="75"/>
      <c r="D135" s="75"/>
      <c r="E135" s="75"/>
      <c r="F135" s="75">
        <f>SUM(B135:E135)</f>
        <v>236250</v>
      </c>
      <c r="H135" s="75">
        <f>(225*1050)</f>
        <v>236250</v>
      </c>
      <c r="I135" s="75"/>
      <c r="J135" s="75"/>
      <c r="K135" s="75"/>
      <c r="L135" s="75">
        <f>SUM(H135:K135)</f>
        <v>236250</v>
      </c>
      <c r="N135" s="75">
        <f>(225*2500)</f>
        <v>562500</v>
      </c>
      <c r="O135" s="75"/>
      <c r="P135" s="75"/>
      <c r="Q135" s="75"/>
      <c r="R135" s="75">
        <f>SUM(N135:Q135)</f>
        <v>562500</v>
      </c>
      <c r="T135" s="75">
        <f>(225*500)</f>
        <v>112500</v>
      </c>
      <c r="U135" s="75"/>
      <c r="V135" s="75"/>
      <c r="W135" s="75"/>
      <c r="X135" s="75">
        <f>SUM(T135:W135)</f>
        <v>112500</v>
      </c>
      <c r="Z135" s="75"/>
      <c r="AA135" s="75"/>
      <c r="AB135" s="75"/>
      <c r="AC135" s="75"/>
      <c r="AD135" s="75">
        <f>SUM(Z135:AC135)</f>
        <v>0</v>
      </c>
      <c r="AF135" s="75">
        <f>B135+H135+N135+T135+Z135</f>
        <v>1147500</v>
      </c>
      <c r="AG135" s="75">
        <f t="shared" ref="AG135:AI135" si="224">C135+I135+O135+U135+AA135</f>
        <v>0</v>
      </c>
      <c r="AH135" s="75">
        <f t="shared" si="224"/>
        <v>0</v>
      </c>
      <c r="AI135" s="75">
        <f t="shared" si="224"/>
        <v>0</v>
      </c>
      <c r="AJ135" s="75">
        <f>SUM(AF135:AI135)</f>
        <v>1147500</v>
      </c>
    </row>
    <row r="136" spans="1:36" x14ac:dyDescent="0.25">
      <c r="A136" s="31" t="s">
        <v>100</v>
      </c>
      <c r="B136" s="63"/>
      <c r="C136" s="63"/>
      <c r="D136" s="63"/>
      <c r="E136" s="63"/>
      <c r="F136" s="75">
        <f t="shared" ref="F136:F140" si="225">SUM(B136:E136)</f>
        <v>0</v>
      </c>
      <c r="H136" s="63"/>
      <c r="I136" s="63"/>
      <c r="J136" s="63"/>
      <c r="K136" s="63"/>
      <c r="L136" s="75">
        <f t="shared" ref="L136:L140" si="226">SUM(H136:K136)</f>
        <v>0</v>
      </c>
      <c r="N136" s="63">
        <v>250000</v>
      </c>
      <c r="O136" s="63"/>
      <c r="P136" s="63"/>
      <c r="Q136" s="63"/>
      <c r="R136" s="75">
        <f t="shared" ref="R136:R140" si="227">SUM(N136:Q136)</f>
        <v>250000</v>
      </c>
      <c r="T136" s="63"/>
      <c r="U136" s="63"/>
      <c r="V136" s="63"/>
      <c r="W136" s="63"/>
      <c r="X136" s="75">
        <f t="shared" ref="X136:X140" si="228">SUM(T136:W136)</f>
        <v>0</v>
      </c>
      <c r="Z136" s="63"/>
      <c r="AA136" s="63"/>
      <c r="AB136" s="63"/>
      <c r="AC136" s="63"/>
      <c r="AD136" s="75">
        <f t="shared" ref="AD136:AD140" si="229">SUM(Z136:AC136)</f>
        <v>0</v>
      </c>
      <c r="AF136" s="75">
        <f t="shared" ref="AF136:AF140" si="230">B136+H136+N136+T136+Z136</f>
        <v>250000</v>
      </c>
      <c r="AG136" s="75">
        <f t="shared" ref="AG136:AG140" si="231">C136+I136+O136+U136+AA136</f>
        <v>0</v>
      </c>
      <c r="AH136" s="75">
        <f t="shared" ref="AH136:AH140" si="232">D136+J136+P136+V136+AB136</f>
        <v>0</v>
      </c>
      <c r="AI136" s="75">
        <f t="shared" ref="AI136:AI140" si="233">E136+K136+Q136+W136+AC136</f>
        <v>0</v>
      </c>
      <c r="AJ136" s="75">
        <f t="shared" ref="AJ136:AJ140" si="234">SUM(AF136:AI136)</f>
        <v>250000</v>
      </c>
    </row>
    <row r="137" spans="1:36" x14ac:dyDescent="0.25">
      <c r="A137" s="32" t="s">
        <v>101</v>
      </c>
      <c r="B137" s="63"/>
      <c r="C137" s="63"/>
      <c r="D137" s="63"/>
      <c r="E137" s="63"/>
      <c r="F137" s="75">
        <f t="shared" si="225"/>
        <v>0</v>
      </c>
      <c r="H137" s="63"/>
      <c r="I137" s="63"/>
      <c r="J137" s="63"/>
      <c r="K137" s="63"/>
      <c r="L137" s="75">
        <f t="shared" si="226"/>
        <v>0</v>
      </c>
      <c r="N137" s="63">
        <f>1500*75</f>
        <v>112500</v>
      </c>
      <c r="O137" s="63"/>
      <c r="P137" s="63"/>
      <c r="Q137" s="63"/>
      <c r="R137" s="75">
        <f t="shared" si="227"/>
        <v>112500</v>
      </c>
      <c r="T137" s="63"/>
      <c r="U137" s="63"/>
      <c r="V137" s="63"/>
      <c r="W137" s="63"/>
      <c r="X137" s="75">
        <f t="shared" si="228"/>
        <v>0</v>
      </c>
      <c r="Z137" s="63"/>
      <c r="AA137" s="63"/>
      <c r="AB137" s="63"/>
      <c r="AC137" s="63"/>
      <c r="AD137" s="75">
        <f t="shared" si="229"/>
        <v>0</v>
      </c>
      <c r="AF137" s="75">
        <f t="shared" si="230"/>
        <v>112500</v>
      </c>
      <c r="AG137" s="75">
        <f t="shared" si="231"/>
        <v>0</v>
      </c>
      <c r="AH137" s="75">
        <f t="shared" si="232"/>
        <v>0</v>
      </c>
      <c r="AI137" s="75">
        <f t="shared" si="233"/>
        <v>0</v>
      </c>
      <c r="AJ137" s="75">
        <f t="shared" si="234"/>
        <v>112500</v>
      </c>
    </row>
    <row r="138" spans="1:36" x14ac:dyDescent="0.25">
      <c r="A138" s="32" t="s">
        <v>102</v>
      </c>
      <c r="B138" s="63">
        <f>35*B17</f>
        <v>35980</v>
      </c>
      <c r="C138" s="63"/>
      <c r="D138" s="63"/>
      <c r="E138" s="63"/>
      <c r="F138" s="75">
        <f t="shared" si="225"/>
        <v>35980</v>
      </c>
      <c r="H138" s="63">
        <f>35*H17</f>
        <v>35980</v>
      </c>
      <c r="I138" s="63"/>
      <c r="J138" s="63"/>
      <c r="K138" s="63"/>
      <c r="L138" s="75">
        <f t="shared" si="226"/>
        <v>35980</v>
      </c>
      <c r="N138" s="63">
        <f>35*N17</f>
        <v>85505</v>
      </c>
      <c r="O138" s="63"/>
      <c r="P138" s="63"/>
      <c r="Q138" s="63"/>
      <c r="R138" s="75">
        <f t="shared" si="227"/>
        <v>85505</v>
      </c>
      <c r="T138" s="63">
        <f>35*T17</f>
        <v>16590</v>
      </c>
      <c r="U138" s="63"/>
      <c r="V138" s="63"/>
      <c r="W138" s="63"/>
      <c r="X138" s="75">
        <f t="shared" si="228"/>
        <v>16590</v>
      </c>
      <c r="Z138" s="63">
        <f>35*Z17</f>
        <v>0</v>
      </c>
      <c r="AA138" s="63"/>
      <c r="AB138" s="63"/>
      <c r="AC138" s="63"/>
      <c r="AD138" s="75">
        <f t="shared" si="229"/>
        <v>0</v>
      </c>
      <c r="AF138" s="75">
        <f t="shared" si="230"/>
        <v>174055</v>
      </c>
      <c r="AG138" s="75">
        <f t="shared" si="231"/>
        <v>0</v>
      </c>
      <c r="AH138" s="75">
        <f t="shared" si="232"/>
        <v>0</v>
      </c>
      <c r="AI138" s="75">
        <f t="shared" si="233"/>
        <v>0</v>
      </c>
      <c r="AJ138" s="75">
        <f t="shared" si="234"/>
        <v>174055</v>
      </c>
    </row>
    <row r="139" spans="1:36" x14ac:dyDescent="0.25">
      <c r="A139" s="32" t="s">
        <v>103</v>
      </c>
      <c r="B139" s="63">
        <f>(22*B17)</f>
        <v>22616</v>
      </c>
      <c r="C139" s="63"/>
      <c r="D139" s="63"/>
      <c r="E139" s="63"/>
      <c r="F139" s="75">
        <f t="shared" si="225"/>
        <v>22616</v>
      </c>
      <c r="H139" s="63">
        <f>(22*H17)</f>
        <v>22616</v>
      </c>
      <c r="I139" s="63"/>
      <c r="J139" s="63"/>
      <c r="K139" s="63"/>
      <c r="L139" s="75">
        <f t="shared" si="226"/>
        <v>22616</v>
      </c>
      <c r="N139" s="63">
        <f>(22*N17)</f>
        <v>53746</v>
      </c>
      <c r="O139" s="63"/>
      <c r="P139" s="63"/>
      <c r="Q139" s="63"/>
      <c r="R139" s="75">
        <f t="shared" si="227"/>
        <v>53746</v>
      </c>
      <c r="T139" s="63">
        <f>(22*T17)</f>
        <v>10428</v>
      </c>
      <c r="U139" s="63"/>
      <c r="V139" s="63"/>
      <c r="W139" s="63"/>
      <c r="X139" s="75">
        <f t="shared" si="228"/>
        <v>10428</v>
      </c>
      <c r="Z139" s="63">
        <f>(22*Z17)</f>
        <v>0</v>
      </c>
      <c r="AA139" s="63"/>
      <c r="AB139" s="63"/>
      <c r="AC139" s="63"/>
      <c r="AD139" s="75">
        <f t="shared" si="229"/>
        <v>0</v>
      </c>
      <c r="AF139" s="75">
        <f t="shared" si="230"/>
        <v>109406</v>
      </c>
      <c r="AG139" s="75">
        <f t="shared" si="231"/>
        <v>0</v>
      </c>
      <c r="AH139" s="75">
        <f t="shared" si="232"/>
        <v>0</v>
      </c>
      <c r="AI139" s="75">
        <f t="shared" si="233"/>
        <v>0</v>
      </c>
      <c r="AJ139" s="75">
        <f t="shared" si="234"/>
        <v>109406</v>
      </c>
    </row>
    <row r="140" spans="1:36" x14ac:dyDescent="0.25">
      <c r="A140" s="33" t="s">
        <v>104</v>
      </c>
      <c r="B140" s="64"/>
      <c r="C140" s="64">
        <f>175*C21</f>
        <v>18375</v>
      </c>
      <c r="D140" s="64"/>
      <c r="E140" s="64"/>
      <c r="F140" s="75">
        <f t="shared" si="225"/>
        <v>18375</v>
      </c>
      <c r="H140" s="64"/>
      <c r="I140" s="64">
        <f>175*I21</f>
        <v>18375</v>
      </c>
      <c r="J140" s="64"/>
      <c r="K140" s="64"/>
      <c r="L140" s="75">
        <f t="shared" si="226"/>
        <v>18375</v>
      </c>
      <c r="N140" s="64"/>
      <c r="O140" s="64">
        <f>175*O21</f>
        <v>42000</v>
      </c>
      <c r="P140" s="64"/>
      <c r="Q140" s="64"/>
      <c r="R140" s="75">
        <f t="shared" si="227"/>
        <v>42000</v>
      </c>
      <c r="T140" s="64"/>
      <c r="U140" s="64">
        <f>175*U21</f>
        <v>8750</v>
      </c>
      <c r="V140" s="64"/>
      <c r="W140" s="64"/>
      <c r="X140" s="75">
        <f t="shared" si="228"/>
        <v>8750</v>
      </c>
      <c r="Z140" s="64"/>
      <c r="AA140" s="64">
        <f>175*AA21</f>
        <v>0</v>
      </c>
      <c r="AB140" s="64"/>
      <c r="AC140" s="64"/>
      <c r="AD140" s="75">
        <f t="shared" si="229"/>
        <v>0</v>
      </c>
      <c r="AF140" s="75">
        <f t="shared" si="230"/>
        <v>0</v>
      </c>
      <c r="AG140" s="75">
        <f t="shared" si="231"/>
        <v>87500</v>
      </c>
      <c r="AH140" s="75">
        <f t="shared" si="232"/>
        <v>0</v>
      </c>
      <c r="AI140" s="75">
        <f t="shared" si="233"/>
        <v>0</v>
      </c>
      <c r="AJ140" s="75">
        <f t="shared" si="234"/>
        <v>87500</v>
      </c>
    </row>
    <row r="141" spans="1:36" x14ac:dyDescent="0.25">
      <c r="A141" s="34"/>
      <c r="B141" s="76">
        <f>SUM(B135:B140)</f>
        <v>294846</v>
      </c>
      <c r="C141" s="76">
        <f t="shared" ref="C141:E141" si="235">SUM(C135:C140)</f>
        <v>18375</v>
      </c>
      <c r="D141" s="76">
        <f t="shared" si="235"/>
        <v>0</v>
      </c>
      <c r="E141" s="76">
        <f t="shared" si="235"/>
        <v>0</v>
      </c>
      <c r="F141" s="76">
        <f t="shared" ref="F141" si="236">SUM(F135:F140)</f>
        <v>313221</v>
      </c>
      <c r="H141" s="76">
        <f>SUM(H135:H140)</f>
        <v>294846</v>
      </c>
      <c r="I141" s="76">
        <f t="shared" ref="I141:L141" si="237">SUM(I135:I140)</f>
        <v>18375</v>
      </c>
      <c r="J141" s="76">
        <f t="shared" si="237"/>
        <v>0</v>
      </c>
      <c r="K141" s="76">
        <f t="shared" si="237"/>
        <v>0</v>
      </c>
      <c r="L141" s="76">
        <f t="shared" si="237"/>
        <v>313221</v>
      </c>
      <c r="N141" s="76">
        <f>SUM(N135:N140)</f>
        <v>1064251</v>
      </c>
      <c r="O141" s="76">
        <f t="shared" ref="O141:R141" si="238">SUM(O135:O140)</f>
        <v>42000</v>
      </c>
      <c r="P141" s="76">
        <f t="shared" si="238"/>
        <v>0</v>
      </c>
      <c r="Q141" s="76">
        <f t="shared" si="238"/>
        <v>0</v>
      </c>
      <c r="R141" s="76">
        <f t="shared" si="238"/>
        <v>1106251</v>
      </c>
      <c r="T141" s="76">
        <f>SUM(T135:T140)</f>
        <v>139518</v>
      </c>
      <c r="U141" s="76">
        <f t="shared" ref="U141:X141" si="239">SUM(U135:U140)</f>
        <v>8750</v>
      </c>
      <c r="V141" s="76">
        <f t="shared" si="239"/>
        <v>0</v>
      </c>
      <c r="W141" s="76">
        <f t="shared" si="239"/>
        <v>0</v>
      </c>
      <c r="X141" s="76">
        <f t="shared" si="239"/>
        <v>148268</v>
      </c>
      <c r="Z141" s="76">
        <f>SUM(Z135:Z140)</f>
        <v>0</v>
      </c>
      <c r="AA141" s="76">
        <f t="shared" ref="AA141:AD141" si="240">SUM(AA135:AA140)</f>
        <v>0</v>
      </c>
      <c r="AB141" s="76">
        <f t="shared" si="240"/>
        <v>0</v>
      </c>
      <c r="AC141" s="76">
        <f t="shared" si="240"/>
        <v>0</v>
      </c>
      <c r="AD141" s="76">
        <f t="shared" si="240"/>
        <v>0</v>
      </c>
      <c r="AF141" s="76">
        <f>SUM(AF135:AF140)</f>
        <v>1793461</v>
      </c>
      <c r="AG141" s="76">
        <f t="shared" ref="AG141:AJ141" si="241">SUM(AG135:AG140)</f>
        <v>87500</v>
      </c>
      <c r="AH141" s="76">
        <f t="shared" si="241"/>
        <v>0</v>
      </c>
      <c r="AI141" s="76">
        <f t="shared" si="241"/>
        <v>0</v>
      </c>
      <c r="AJ141" s="76">
        <f t="shared" si="241"/>
        <v>1880961</v>
      </c>
    </row>
    <row r="142" spans="1:36" x14ac:dyDescent="0.25">
      <c r="B142" s="77"/>
      <c r="C142" s="77"/>
      <c r="D142" s="77"/>
      <c r="E142" s="77"/>
      <c r="F142" s="77"/>
      <c r="H142" s="77"/>
      <c r="I142" s="77"/>
      <c r="J142" s="77"/>
      <c r="K142" s="77"/>
      <c r="L142" s="77"/>
      <c r="N142" s="77"/>
      <c r="O142" s="77"/>
      <c r="P142" s="77"/>
      <c r="Q142" s="77"/>
      <c r="R142" s="77"/>
      <c r="T142" s="77"/>
      <c r="U142" s="77"/>
      <c r="V142" s="77"/>
      <c r="W142" s="77"/>
      <c r="X142" s="77"/>
      <c r="Z142" s="77"/>
      <c r="AA142" s="77"/>
      <c r="AB142" s="77"/>
      <c r="AC142" s="77"/>
      <c r="AD142" s="77"/>
      <c r="AF142" s="77"/>
      <c r="AG142" s="77"/>
      <c r="AH142" s="77"/>
      <c r="AI142" s="77"/>
      <c r="AJ142" s="77"/>
    </row>
    <row r="143" spans="1:36" x14ac:dyDescent="0.25">
      <c r="A143" s="28"/>
      <c r="B143" s="78" t="s">
        <v>157</v>
      </c>
      <c r="C143" s="78" t="s">
        <v>158</v>
      </c>
      <c r="D143" s="78" t="s">
        <v>159</v>
      </c>
      <c r="E143" s="78" t="str">
        <f>E134</f>
        <v>Other</v>
      </c>
      <c r="F143" s="78" t="str">
        <f>F134</f>
        <v>FY26- Mtn</v>
      </c>
      <c r="H143" s="78" t="s">
        <v>157</v>
      </c>
      <c r="I143" s="78" t="s">
        <v>158</v>
      </c>
      <c r="J143" s="78" t="s">
        <v>159</v>
      </c>
      <c r="K143" s="78" t="str">
        <f>K134</f>
        <v>Other</v>
      </c>
      <c r="L143" s="78" t="str">
        <f>L134</f>
        <v>FY26- Bon</v>
      </c>
      <c r="N143" s="78" t="s">
        <v>157</v>
      </c>
      <c r="O143" s="78" t="s">
        <v>158</v>
      </c>
      <c r="P143" s="78" t="s">
        <v>159</v>
      </c>
      <c r="Q143" s="78" t="str">
        <f>Q134</f>
        <v>Other</v>
      </c>
      <c r="R143" s="78" t="str">
        <f>R134</f>
        <v>FY26- East</v>
      </c>
      <c r="T143" s="78" t="s">
        <v>157</v>
      </c>
      <c r="U143" s="78" t="s">
        <v>158</v>
      </c>
      <c r="V143" s="78" t="s">
        <v>159</v>
      </c>
      <c r="W143" s="78" t="str">
        <f>W134</f>
        <v>Other</v>
      </c>
      <c r="X143" s="78" t="str">
        <f>X134</f>
        <v>FY26- Cactus</v>
      </c>
      <c r="Z143" s="78" t="s">
        <v>157</v>
      </c>
      <c r="AA143" s="78" t="s">
        <v>158</v>
      </c>
      <c r="AB143" s="78" t="s">
        <v>159</v>
      </c>
      <c r="AC143" s="78" t="str">
        <f>AC134</f>
        <v>Grant</v>
      </c>
      <c r="AD143" s="78" t="str">
        <f>AD134</f>
        <v>FY26 - Central</v>
      </c>
      <c r="AF143" s="78" t="s">
        <v>157</v>
      </c>
      <c r="AG143" s="78" t="s">
        <v>158</v>
      </c>
      <c r="AH143" s="78" t="s">
        <v>159</v>
      </c>
      <c r="AI143" s="78" t="str">
        <f>AI134</f>
        <v>Grant</v>
      </c>
      <c r="AJ143" s="78" t="str">
        <f>AJ134</f>
        <v>FY26- Sys</v>
      </c>
    </row>
    <row r="144" spans="1:36" x14ac:dyDescent="0.25">
      <c r="A144" s="35" t="s">
        <v>105</v>
      </c>
      <c r="B144" s="75">
        <f>30*B17</f>
        <v>30840</v>
      </c>
      <c r="C144" s="75"/>
      <c r="D144" s="75"/>
      <c r="E144" s="75"/>
      <c r="F144" s="75">
        <f>SUM(B144:E144)</f>
        <v>30840</v>
      </c>
      <c r="H144" s="75">
        <f>30*H17</f>
        <v>30840</v>
      </c>
      <c r="I144" s="75"/>
      <c r="J144" s="75"/>
      <c r="K144" s="75"/>
      <c r="L144" s="75">
        <f>SUM(H144:K144)</f>
        <v>30840</v>
      </c>
      <c r="N144" s="75">
        <f>30*N17</f>
        <v>73290</v>
      </c>
      <c r="O144" s="75"/>
      <c r="P144" s="75"/>
      <c r="Q144" s="75"/>
      <c r="R144" s="75">
        <f>SUM(N144:Q144)</f>
        <v>73290</v>
      </c>
      <c r="T144" s="75">
        <f>30*T17</f>
        <v>14220</v>
      </c>
      <c r="U144" s="75"/>
      <c r="V144" s="75"/>
      <c r="W144" s="75"/>
      <c r="X144" s="75">
        <f>SUM(T144:W144)</f>
        <v>14220</v>
      </c>
      <c r="Z144" s="75">
        <v>6000</v>
      </c>
      <c r="AA144" s="75"/>
      <c r="AB144" s="75"/>
      <c r="AC144" s="75"/>
      <c r="AD144" s="75">
        <f>SUM(Z144:AC144)</f>
        <v>6000</v>
      </c>
      <c r="AF144" s="75">
        <f>B144+H144+N144+T144+Z144</f>
        <v>155190</v>
      </c>
      <c r="AG144" s="75">
        <f t="shared" ref="AG144:AI144" si="242">C144+I144+O144+U144+AA144</f>
        <v>0</v>
      </c>
      <c r="AH144" s="75">
        <f t="shared" si="242"/>
        <v>0</v>
      </c>
      <c r="AI144" s="75">
        <f t="shared" si="242"/>
        <v>0</v>
      </c>
      <c r="AJ144" s="75">
        <f>SUM(AF144:AI144)</f>
        <v>155190</v>
      </c>
    </row>
    <row r="145" spans="1:36" x14ac:dyDescent="0.25">
      <c r="A145" s="32" t="s">
        <v>103</v>
      </c>
      <c r="B145" s="63">
        <f>(3*B17)</f>
        <v>3084</v>
      </c>
      <c r="C145" s="63"/>
      <c r="D145" s="63"/>
      <c r="E145" s="63"/>
      <c r="F145" s="75">
        <f t="shared" ref="F145:F148" si="243">SUM(B145:E145)</f>
        <v>3084</v>
      </c>
      <c r="H145" s="63">
        <f>(3*H17)</f>
        <v>3084</v>
      </c>
      <c r="I145" s="63"/>
      <c r="J145" s="63"/>
      <c r="K145" s="63"/>
      <c r="L145" s="75">
        <f t="shared" ref="L145:L148" si="244">SUM(H145:K145)</f>
        <v>3084</v>
      </c>
      <c r="N145" s="63">
        <f>(3*N17)</f>
        <v>7329</v>
      </c>
      <c r="O145" s="63"/>
      <c r="P145" s="63"/>
      <c r="Q145" s="63"/>
      <c r="R145" s="75">
        <f t="shared" ref="R145:R148" si="245">SUM(N145:Q145)</f>
        <v>7329</v>
      </c>
      <c r="T145" s="63">
        <f>(3*T17)</f>
        <v>1422</v>
      </c>
      <c r="U145" s="63"/>
      <c r="V145" s="63"/>
      <c r="W145" s="63"/>
      <c r="X145" s="75">
        <f t="shared" ref="X145:X148" si="246">SUM(T145:W145)</f>
        <v>1422</v>
      </c>
      <c r="Z145" s="63">
        <f>(3*Z17)</f>
        <v>0</v>
      </c>
      <c r="AA145" s="63"/>
      <c r="AB145" s="63"/>
      <c r="AC145" s="63"/>
      <c r="AD145" s="75">
        <f t="shared" ref="AD145:AD148" si="247">SUM(Z145:AC145)</f>
        <v>0</v>
      </c>
      <c r="AF145" s="75">
        <f t="shared" ref="AF145:AF148" si="248">B145+H145+N145+T145+Z145</f>
        <v>14919</v>
      </c>
      <c r="AG145" s="75">
        <f t="shared" ref="AG145:AG148" si="249">C145+I145+O145+U145+AA145</f>
        <v>0</v>
      </c>
      <c r="AH145" s="75">
        <f t="shared" ref="AH145:AH148" si="250">D145+J145+P145+V145+AB145</f>
        <v>0</v>
      </c>
      <c r="AI145" s="75">
        <f t="shared" ref="AI145:AI148" si="251">E145+K145+Q145+W145+AC145</f>
        <v>0</v>
      </c>
      <c r="AJ145" s="75">
        <f t="shared" ref="AJ145:AJ148" si="252">SUM(AF145:AI145)</f>
        <v>14919</v>
      </c>
    </row>
    <row r="146" spans="1:36" x14ac:dyDescent="0.25">
      <c r="A146" s="32" t="s">
        <v>106</v>
      </c>
      <c r="B146" s="63">
        <f>8*B17</f>
        <v>8224</v>
      </c>
      <c r="C146" s="63"/>
      <c r="D146" s="63"/>
      <c r="E146" s="63"/>
      <c r="F146" s="75">
        <f t="shared" si="243"/>
        <v>8224</v>
      </c>
      <c r="H146" s="63">
        <f>8*H17</f>
        <v>8224</v>
      </c>
      <c r="I146" s="63"/>
      <c r="J146" s="63"/>
      <c r="K146" s="63"/>
      <c r="L146" s="75">
        <f t="shared" si="244"/>
        <v>8224</v>
      </c>
      <c r="N146" s="63">
        <f>8*N17</f>
        <v>19544</v>
      </c>
      <c r="O146" s="63"/>
      <c r="P146" s="63"/>
      <c r="Q146" s="63"/>
      <c r="R146" s="75">
        <f t="shared" si="245"/>
        <v>19544</v>
      </c>
      <c r="T146" s="63">
        <f>8*T17</f>
        <v>3792</v>
      </c>
      <c r="U146" s="63"/>
      <c r="V146" s="63"/>
      <c r="W146" s="63"/>
      <c r="X146" s="75">
        <f t="shared" si="246"/>
        <v>3792</v>
      </c>
      <c r="Z146" s="63">
        <f>8*Z17</f>
        <v>0</v>
      </c>
      <c r="AA146" s="63"/>
      <c r="AB146" s="63"/>
      <c r="AC146" s="63"/>
      <c r="AD146" s="75">
        <f t="shared" si="247"/>
        <v>0</v>
      </c>
      <c r="AF146" s="75">
        <f t="shared" si="248"/>
        <v>39784</v>
      </c>
      <c r="AG146" s="75">
        <f t="shared" si="249"/>
        <v>0</v>
      </c>
      <c r="AH146" s="75">
        <f t="shared" si="250"/>
        <v>0</v>
      </c>
      <c r="AI146" s="75">
        <f t="shared" si="251"/>
        <v>0</v>
      </c>
      <c r="AJ146" s="75">
        <f t="shared" si="252"/>
        <v>39784</v>
      </c>
    </row>
    <row r="147" spans="1:36" x14ac:dyDescent="0.25">
      <c r="A147" s="32" t="s">
        <v>107</v>
      </c>
      <c r="B147" s="63"/>
      <c r="C147" s="63"/>
      <c r="D147" s="63"/>
      <c r="E147" s="63"/>
      <c r="F147" s="75">
        <f t="shared" si="243"/>
        <v>0</v>
      </c>
      <c r="H147" s="63"/>
      <c r="I147" s="63"/>
      <c r="J147" s="63"/>
      <c r="K147" s="63"/>
      <c r="L147" s="75">
        <f t="shared" si="244"/>
        <v>0</v>
      </c>
      <c r="N147" s="63">
        <v>165000</v>
      </c>
      <c r="O147" s="63"/>
      <c r="P147" s="63"/>
      <c r="Q147" s="63"/>
      <c r="R147" s="75">
        <f t="shared" si="245"/>
        <v>165000</v>
      </c>
      <c r="T147" s="63"/>
      <c r="U147" s="63"/>
      <c r="V147" s="63"/>
      <c r="W147" s="63"/>
      <c r="X147" s="75">
        <f t="shared" si="246"/>
        <v>0</v>
      </c>
      <c r="Z147" s="63"/>
      <c r="AA147" s="63"/>
      <c r="AB147" s="63"/>
      <c r="AC147" s="63"/>
      <c r="AD147" s="75">
        <f t="shared" si="247"/>
        <v>0</v>
      </c>
      <c r="AF147" s="75">
        <f t="shared" si="248"/>
        <v>165000</v>
      </c>
      <c r="AG147" s="75">
        <f t="shared" si="249"/>
        <v>0</v>
      </c>
      <c r="AH147" s="75">
        <f t="shared" si="250"/>
        <v>0</v>
      </c>
      <c r="AI147" s="75">
        <f t="shared" si="251"/>
        <v>0</v>
      </c>
      <c r="AJ147" s="75">
        <f t="shared" si="252"/>
        <v>165000</v>
      </c>
    </row>
    <row r="148" spans="1:36" x14ac:dyDescent="0.25">
      <c r="A148" s="33" t="s">
        <v>108</v>
      </c>
      <c r="B148" s="64">
        <f>55*B17</f>
        <v>56540</v>
      </c>
      <c r="C148" s="64"/>
      <c r="D148" s="64"/>
      <c r="E148" s="64"/>
      <c r="F148" s="75">
        <f t="shared" si="243"/>
        <v>56540</v>
      </c>
      <c r="H148" s="64">
        <f>55*H17</f>
        <v>56540</v>
      </c>
      <c r="I148" s="64"/>
      <c r="J148" s="64"/>
      <c r="K148" s="64"/>
      <c r="L148" s="75">
        <f t="shared" si="244"/>
        <v>56540</v>
      </c>
      <c r="N148" s="64">
        <f>55*N17</f>
        <v>134365</v>
      </c>
      <c r="O148" s="64"/>
      <c r="P148" s="64"/>
      <c r="Q148" s="64"/>
      <c r="R148" s="75">
        <f t="shared" si="245"/>
        <v>134365</v>
      </c>
      <c r="T148" s="64">
        <f>55*T17</f>
        <v>26070</v>
      </c>
      <c r="U148" s="64"/>
      <c r="V148" s="64"/>
      <c r="W148" s="64"/>
      <c r="X148" s="75">
        <f t="shared" si="246"/>
        <v>26070</v>
      </c>
      <c r="Z148" s="64">
        <f>50*Z17</f>
        <v>0</v>
      </c>
      <c r="AA148" s="64"/>
      <c r="AB148" s="64"/>
      <c r="AC148" s="64"/>
      <c r="AD148" s="75">
        <f t="shared" si="247"/>
        <v>0</v>
      </c>
      <c r="AF148" s="75">
        <f t="shared" si="248"/>
        <v>273515</v>
      </c>
      <c r="AG148" s="75">
        <f t="shared" si="249"/>
        <v>0</v>
      </c>
      <c r="AH148" s="75">
        <f t="shared" si="250"/>
        <v>0</v>
      </c>
      <c r="AI148" s="75">
        <f t="shared" si="251"/>
        <v>0</v>
      </c>
      <c r="AJ148" s="75">
        <f t="shared" si="252"/>
        <v>273515</v>
      </c>
    </row>
    <row r="149" spans="1:36" x14ac:dyDescent="0.25">
      <c r="A149" s="34"/>
      <c r="B149" s="76">
        <f>SUM(B144:B148)</f>
        <v>98688</v>
      </c>
      <c r="C149" s="76">
        <f t="shared" ref="C149:E149" si="253">SUM(C144:C148)</f>
        <v>0</v>
      </c>
      <c r="D149" s="76">
        <f t="shared" si="253"/>
        <v>0</v>
      </c>
      <c r="E149" s="76">
        <f t="shared" si="253"/>
        <v>0</v>
      </c>
      <c r="F149" s="76">
        <f t="shared" ref="F149" si="254">SUM(F144:F148)</f>
        <v>98688</v>
      </c>
      <c r="H149" s="76">
        <f>SUM(H144:H148)</f>
        <v>98688</v>
      </c>
      <c r="I149" s="76">
        <f t="shared" ref="I149:L149" si="255">SUM(I144:I148)</f>
        <v>0</v>
      </c>
      <c r="J149" s="76">
        <f t="shared" si="255"/>
        <v>0</v>
      </c>
      <c r="K149" s="76">
        <f t="shared" si="255"/>
        <v>0</v>
      </c>
      <c r="L149" s="76">
        <f t="shared" si="255"/>
        <v>98688</v>
      </c>
      <c r="N149" s="76">
        <f>SUM(N144:N148)</f>
        <v>399528</v>
      </c>
      <c r="O149" s="76">
        <f t="shared" ref="O149:R149" si="256">SUM(O144:O148)</f>
        <v>0</v>
      </c>
      <c r="P149" s="76">
        <f t="shared" si="256"/>
        <v>0</v>
      </c>
      <c r="Q149" s="76">
        <f t="shared" si="256"/>
        <v>0</v>
      </c>
      <c r="R149" s="76">
        <f t="shared" si="256"/>
        <v>399528</v>
      </c>
      <c r="T149" s="76">
        <f>SUM(T144:T148)</f>
        <v>45504</v>
      </c>
      <c r="U149" s="76">
        <f t="shared" ref="U149:X149" si="257">SUM(U144:U148)</f>
        <v>0</v>
      </c>
      <c r="V149" s="76">
        <f t="shared" si="257"/>
        <v>0</v>
      </c>
      <c r="W149" s="76">
        <f t="shared" si="257"/>
        <v>0</v>
      </c>
      <c r="X149" s="76">
        <f t="shared" si="257"/>
        <v>45504</v>
      </c>
      <c r="Z149" s="76">
        <f>SUM(Z144:Z148)</f>
        <v>6000</v>
      </c>
      <c r="AA149" s="76">
        <f t="shared" ref="AA149:AD149" si="258">SUM(AA144:AA148)</f>
        <v>0</v>
      </c>
      <c r="AB149" s="76">
        <f t="shared" si="258"/>
        <v>0</v>
      </c>
      <c r="AC149" s="76">
        <f t="shared" si="258"/>
        <v>0</v>
      </c>
      <c r="AD149" s="76">
        <f t="shared" si="258"/>
        <v>6000</v>
      </c>
      <c r="AF149" s="76">
        <f>SUM(AF144:AF148)</f>
        <v>648408</v>
      </c>
      <c r="AG149" s="76">
        <f t="shared" ref="AG149:AJ149" si="259">SUM(AG144:AG148)</f>
        <v>0</v>
      </c>
      <c r="AH149" s="76">
        <f t="shared" si="259"/>
        <v>0</v>
      </c>
      <c r="AI149" s="76">
        <f t="shared" si="259"/>
        <v>0</v>
      </c>
      <c r="AJ149" s="76">
        <f t="shared" si="259"/>
        <v>648408</v>
      </c>
    </row>
    <row r="150" spans="1:36" x14ac:dyDescent="0.25">
      <c r="B150" s="77"/>
      <c r="C150" s="77"/>
      <c r="D150" s="77"/>
      <c r="E150" s="77"/>
      <c r="F150" s="77"/>
      <c r="H150" s="77"/>
      <c r="I150" s="77"/>
      <c r="J150" s="77"/>
      <c r="K150" s="77"/>
      <c r="L150" s="77"/>
      <c r="N150" s="77"/>
      <c r="O150" s="77"/>
      <c r="P150" s="77"/>
      <c r="Q150" s="77"/>
      <c r="R150" s="77"/>
      <c r="T150" s="77"/>
      <c r="U150" s="77"/>
      <c r="V150" s="77"/>
      <c r="W150" s="77"/>
      <c r="X150" s="77"/>
      <c r="Z150" s="77"/>
      <c r="AA150" s="77"/>
      <c r="AB150" s="77"/>
      <c r="AC150" s="77"/>
      <c r="AD150" s="77"/>
      <c r="AF150" s="77"/>
      <c r="AG150" s="77"/>
      <c r="AH150" s="77"/>
      <c r="AI150" s="77"/>
      <c r="AJ150" s="77"/>
    </row>
    <row r="151" spans="1:36" x14ac:dyDescent="0.25">
      <c r="A151" s="28"/>
      <c r="B151" s="78" t="s">
        <v>157</v>
      </c>
      <c r="C151" s="78" t="s">
        <v>158</v>
      </c>
      <c r="D151" s="78" t="s">
        <v>159</v>
      </c>
      <c r="E151" s="78" t="str">
        <f>E134</f>
        <v>Other</v>
      </c>
      <c r="F151" s="78" t="str">
        <f>F134</f>
        <v>FY26- Mtn</v>
      </c>
      <c r="H151" s="78" t="s">
        <v>157</v>
      </c>
      <c r="I151" s="78" t="s">
        <v>158</v>
      </c>
      <c r="J151" s="78" t="s">
        <v>159</v>
      </c>
      <c r="K151" s="78" t="str">
        <f>K134</f>
        <v>Other</v>
      </c>
      <c r="L151" s="78" t="str">
        <f>L134</f>
        <v>FY26- Bon</v>
      </c>
      <c r="N151" s="78" t="s">
        <v>157</v>
      </c>
      <c r="O151" s="78" t="s">
        <v>158</v>
      </c>
      <c r="P151" s="78" t="s">
        <v>159</v>
      </c>
      <c r="Q151" s="78" t="str">
        <f>Q134</f>
        <v>Other</v>
      </c>
      <c r="R151" s="78" t="str">
        <f>R134</f>
        <v>FY26- East</v>
      </c>
      <c r="T151" s="78" t="s">
        <v>157</v>
      </c>
      <c r="U151" s="78" t="s">
        <v>158</v>
      </c>
      <c r="V151" s="78" t="s">
        <v>159</v>
      </c>
      <c r="W151" s="78" t="str">
        <f>W134</f>
        <v>Other</v>
      </c>
      <c r="X151" s="78" t="str">
        <f>X134</f>
        <v>FY26- Cactus</v>
      </c>
      <c r="Z151" s="78" t="s">
        <v>157</v>
      </c>
      <c r="AA151" s="78" t="s">
        <v>158</v>
      </c>
      <c r="AB151" s="78" t="s">
        <v>159</v>
      </c>
      <c r="AC151" s="78" t="str">
        <f>AC134</f>
        <v>Grant</v>
      </c>
      <c r="AD151" s="78" t="str">
        <f>AD134</f>
        <v>FY26 - Central</v>
      </c>
      <c r="AF151" s="78" t="s">
        <v>157</v>
      </c>
      <c r="AG151" s="78" t="s">
        <v>158</v>
      </c>
      <c r="AH151" s="78" t="s">
        <v>159</v>
      </c>
      <c r="AI151" s="78" t="str">
        <f>AI134</f>
        <v>Grant</v>
      </c>
      <c r="AJ151" s="78" t="str">
        <f>AJ134</f>
        <v>FY26- Sys</v>
      </c>
    </row>
    <row r="152" spans="1:36" x14ac:dyDescent="0.25">
      <c r="A152" s="35" t="s">
        <v>109</v>
      </c>
      <c r="B152" s="75">
        <f>(6500*2)</f>
        <v>13000</v>
      </c>
      <c r="C152" s="75"/>
      <c r="D152" s="75"/>
      <c r="E152" s="75"/>
      <c r="F152" s="75">
        <f>SUM(B152:E152)</f>
        <v>13000</v>
      </c>
      <c r="H152" s="75">
        <f>(6500*2)</f>
        <v>13000</v>
      </c>
      <c r="I152" s="75"/>
      <c r="J152" s="75"/>
      <c r="K152" s="75"/>
      <c r="L152" s="75">
        <f>SUM(H152:K152)</f>
        <v>13000</v>
      </c>
      <c r="N152" s="75">
        <f>(6500*3)+5000</f>
        <v>24500</v>
      </c>
      <c r="O152" s="75"/>
      <c r="P152" s="75"/>
      <c r="Q152" s="75"/>
      <c r="R152" s="75">
        <f>SUM(N152:Q152)</f>
        <v>24500</v>
      </c>
      <c r="T152" s="60">
        <v>0</v>
      </c>
      <c r="U152" s="75"/>
      <c r="V152" s="75"/>
      <c r="W152" s="75"/>
      <c r="X152" s="75">
        <f>SUM(T152:W152)</f>
        <v>0</v>
      </c>
      <c r="Z152" s="60">
        <v>0</v>
      </c>
      <c r="AA152" s="75"/>
      <c r="AB152" s="75"/>
      <c r="AC152" s="75">
        <v>6500</v>
      </c>
      <c r="AD152" s="75">
        <f>SUM(Z152:AC152)</f>
        <v>6500</v>
      </c>
      <c r="AF152" s="60">
        <f>B152+H152+N152+T152+Z152</f>
        <v>50500</v>
      </c>
      <c r="AG152" s="60">
        <f t="shared" ref="AG152:AI152" si="260">C152+I152+O152+U152+AA152</f>
        <v>0</v>
      </c>
      <c r="AH152" s="60">
        <f t="shared" si="260"/>
        <v>0</v>
      </c>
      <c r="AI152" s="60">
        <f t="shared" si="260"/>
        <v>6500</v>
      </c>
      <c r="AJ152" s="75">
        <f>SUM(AF152:AI152)</f>
        <v>57000</v>
      </c>
    </row>
    <row r="153" spans="1:36" x14ac:dyDescent="0.25">
      <c r="A153" s="32" t="s">
        <v>110</v>
      </c>
      <c r="B153" s="63"/>
      <c r="C153" s="63">
        <f>(75*B17)</f>
        <v>77100</v>
      </c>
      <c r="D153" s="63"/>
      <c r="E153" s="63"/>
      <c r="F153" s="75">
        <f t="shared" ref="F153:F158" si="261">SUM(B153:E153)</f>
        <v>77100</v>
      </c>
      <c r="H153" s="63"/>
      <c r="I153" s="63">
        <f>(75*H17)</f>
        <v>77100</v>
      </c>
      <c r="J153" s="63"/>
      <c r="K153" s="63"/>
      <c r="L153" s="75">
        <f t="shared" ref="L153:L158" si="262">SUM(H153:K153)</f>
        <v>77100</v>
      </c>
      <c r="N153" s="63"/>
      <c r="O153" s="63">
        <f>(75*N17)</f>
        <v>183225</v>
      </c>
      <c r="P153" s="63"/>
      <c r="Q153" s="63"/>
      <c r="R153" s="75">
        <f t="shared" ref="R153:R158" si="263">SUM(N153:Q153)</f>
        <v>183225</v>
      </c>
      <c r="T153" s="63"/>
      <c r="U153" s="61">
        <f>(200*T17)</f>
        <v>94800</v>
      </c>
      <c r="V153" s="63"/>
      <c r="W153" s="63"/>
      <c r="X153" s="75">
        <f t="shared" ref="X153:X158" si="264">SUM(T153:W153)</f>
        <v>94800</v>
      </c>
      <c r="Z153" s="63"/>
      <c r="AA153" s="63"/>
      <c r="AB153" s="63"/>
      <c r="AC153" s="63"/>
      <c r="AD153" s="75">
        <f t="shared" ref="AD153:AD158" si="265">SUM(Z153:AC153)</f>
        <v>0</v>
      </c>
      <c r="AF153" s="60">
        <f t="shared" ref="AF153:AF158" si="266">B153+H153+N153+T153+Z153</f>
        <v>0</v>
      </c>
      <c r="AG153" s="60">
        <f t="shared" ref="AG153:AG158" si="267">C153+I153+O153+U153+AA153</f>
        <v>432225</v>
      </c>
      <c r="AH153" s="60">
        <f t="shared" ref="AH153:AH158" si="268">D153+J153+P153+V153+AB153</f>
        <v>0</v>
      </c>
      <c r="AI153" s="60">
        <f t="shared" ref="AI153:AI158" si="269">E153+K153+Q153+W153+AC153</f>
        <v>0</v>
      </c>
      <c r="AJ153" s="75">
        <f t="shared" ref="AJ153:AJ158" si="270">SUM(AF153:AI153)</f>
        <v>432225</v>
      </c>
    </row>
    <row r="154" spans="1:36" x14ac:dyDescent="0.25">
      <c r="A154" s="32" t="s">
        <v>111</v>
      </c>
      <c r="B154" s="63">
        <f>(205*11*B36)-B124</f>
        <v>38475</v>
      </c>
      <c r="C154" s="63">
        <f>(205*11*C36)-C124</f>
        <v>11275</v>
      </c>
      <c r="D154" s="63">
        <f>(195*11*D36)-D124</f>
        <v>0</v>
      </c>
      <c r="E154" s="63">
        <f>(195*11*E36)-E124</f>
        <v>0</v>
      </c>
      <c r="F154" s="75">
        <f t="shared" si="261"/>
        <v>49750</v>
      </c>
      <c r="H154" s="63">
        <f>(205*11*H36)-H124</f>
        <v>69975</v>
      </c>
      <c r="I154" s="63">
        <f>(205*11*I36)-I124</f>
        <v>9020</v>
      </c>
      <c r="J154" s="63">
        <f>(195*11*J36)-J124</f>
        <v>0</v>
      </c>
      <c r="K154" s="63">
        <f>(195*11*K36)-K124</f>
        <v>0</v>
      </c>
      <c r="L154" s="75">
        <f t="shared" si="262"/>
        <v>78995</v>
      </c>
      <c r="N154" s="63">
        <f>(205*11*N36)-N124</f>
        <v>131000</v>
      </c>
      <c r="O154" s="63">
        <f>(205*11*O36)-O124</f>
        <v>29315</v>
      </c>
      <c r="P154" s="63">
        <f>(195*11*P36)-P124</f>
        <v>0</v>
      </c>
      <c r="Q154" s="63">
        <f>(195*11*Q36)-Q124</f>
        <v>0</v>
      </c>
      <c r="R154" s="75">
        <f t="shared" si="263"/>
        <v>160315</v>
      </c>
      <c r="T154" s="63">
        <f>(205*11*T36)-T124</f>
        <v>47355</v>
      </c>
      <c r="U154" s="63">
        <f>(205*11*U36)-U124</f>
        <v>6765</v>
      </c>
      <c r="V154" s="63">
        <f>(195*11*V36)-V124</f>
        <v>0</v>
      </c>
      <c r="W154" s="63">
        <f>(195*11*W36)-W124</f>
        <v>0</v>
      </c>
      <c r="X154" s="75">
        <f t="shared" si="264"/>
        <v>54120</v>
      </c>
      <c r="Z154" s="63"/>
      <c r="AA154" s="63"/>
      <c r="AB154" s="63"/>
      <c r="AC154" s="63"/>
      <c r="AD154" s="75">
        <f t="shared" si="265"/>
        <v>0</v>
      </c>
      <c r="AF154" s="60">
        <f t="shared" si="266"/>
        <v>286805</v>
      </c>
      <c r="AG154" s="60">
        <f t="shared" si="267"/>
        <v>56375</v>
      </c>
      <c r="AH154" s="60">
        <f t="shared" si="268"/>
        <v>0</v>
      </c>
      <c r="AI154" s="60">
        <f t="shared" si="269"/>
        <v>0</v>
      </c>
      <c r="AJ154" s="75">
        <f t="shared" si="270"/>
        <v>343180</v>
      </c>
    </row>
    <row r="155" spans="1:36" x14ac:dyDescent="0.25">
      <c r="A155" s="32" t="s">
        <v>112</v>
      </c>
      <c r="B155" s="63"/>
      <c r="C155" s="63"/>
      <c r="D155" s="63"/>
      <c r="E155" s="63"/>
      <c r="F155" s="75">
        <f t="shared" si="261"/>
        <v>0</v>
      </c>
      <c r="H155" s="63"/>
      <c r="I155" s="63"/>
      <c r="J155" s="63"/>
      <c r="K155" s="63"/>
      <c r="L155" s="75">
        <f t="shared" si="262"/>
        <v>0</v>
      </c>
      <c r="N155" s="63"/>
      <c r="O155" s="63"/>
      <c r="P155" s="63"/>
      <c r="Q155" s="63"/>
      <c r="R155" s="75">
        <f t="shared" si="263"/>
        <v>0</v>
      </c>
      <c r="T155" s="63"/>
      <c r="U155" s="63"/>
      <c r="V155" s="63"/>
      <c r="W155" s="63"/>
      <c r="X155" s="75">
        <f t="shared" si="264"/>
        <v>0</v>
      </c>
      <c r="Z155" s="63"/>
      <c r="AA155" s="63"/>
      <c r="AB155" s="63"/>
      <c r="AC155" s="63"/>
      <c r="AD155" s="75">
        <f t="shared" si="265"/>
        <v>0</v>
      </c>
      <c r="AF155" s="60">
        <f t="shared" si="266"/>
        <v>0</v>
      </c>
      <c r="AG155" s="60">
        <f t="shared" si="267"/>
        <v>0</v>
      </c>
      <c r="AH155" s="60">
        <f t="shared" si="268"/>
        <v>0</v>
      </c>
      <c r="AI155" s="60">
        <f t="shared" si="269"/>
        <v>0</v>
      </c>
      <c r="AJ155" s="75">
        <f t="shared" si="270"/>
        <v>0</v>
      </c>
    </row>
    <row r="156" spans="1:36" x14ac:dyDescent="0.25">
      <c r="A156" s="32" t="s">
        <v>113</v>
      </c>
      <c r="B156" s="63">
        <f>B68*0.005</f>
        <v>48398.239999999998</v>
      </c>
      <c r="C156" s="63"/>
      <c r="D156" s="63"/>
      <c r="E156" s="63"/>
      <c r="F156" s="75">
        <f t="shared" si="261"/>
        <v>48398.239999999998</v>
      </c>
      <c r="H156" s="63">
        <f>H68*0.005</f>
        <v>48398.239999999998</v>
      </c>
      <c r="I156" s="63"/>
      <c r="J156" s="63"/>
      <c r="K156" s="63"/>
      <c r="L156" s="75">
        <f t="shared" si="262"/>
        <v>48398.239999999998</v>
      </c>
      <c r="N156" s="63">
        <f>N68*0.005</f>
        <v>115016.44</v>
      </c>
      <c r="O156" s="63"/>
      <c r="P156" s="63"/>
      <c r="Q156" s="63"/>
      <c r="R156" s="75">
        <f t="shared" si="263"/>
        <v>115016.44</v>
      </c>
      <c r="T156" s="63">
        <f>T68*0.005</f>
        <v>22315.920000000002</v>
      </c>
      <c r="U156" s="63"/>
      <c r="V156" s="63"/>
      <c r="W156" s="63"/>
      <c r="X156" s="75">
        <f t="shared" si="264"/>
        <v>22315.920000000002</v>
      </c>
      <c r="Z156" s="63"/>
      <c r="AA156" s="63"/>
      <c r="AB156" s="63"/>
      <c r="AC156" s="63"/>
      <c r="AD156" s="75">
        <f t="shared" si="265"/>
        <v>0</v>
      </c>
      <c r="AF156" s="60">
        <f t="shared" si="266"/>
        <v>234128.84</v>
      </c>
      <c r="AG156" s="60">
        <f t="shared" si="267"/>
        <v>0</v>
      </c>
      <c r="AH156" s="60">
        <f t="shared" si="268"/>
        <v>0</v>
      </c>
      <c r="AI156" s="60">
        <f t="shared" si="269"/>
        <v>0</v>
      </c>
      <c r="AJ156" s="75">
        <f t="shared" si="270"/>
        <v>234128.84</v>
      </c>
    </row>
    <row r="157" spans="1:36" x14ac:dyDescent="0.25">
      <c r="A157" s="32" t="s">
        <v>114</v>
      </c>
      <c r="B157" s="63">
        <f>(B68*0.005)</f>
        <v>48398.239999999998</v>
      </c>
      <c r="C157" s="63"/>
      <c r="D157" s="63"/>
      <c r="E157" s="63"/>
      <c r="F157" s="75">
        <f t="shared" si="261"/>
        <v>48398.239999999998</v>
      </c>
      <c r="H157" s="63">
        <f>(H68*0.005)</f>
        <v>48398.239999999998</v>
      </c>
      <c r="I157" s="63"/>
      <c r="J157" s="63"/>
      <c r="K157" s="63"/>
      <c r="L157" s="75">
        <f t="shared" si="262"/>
        <v>48398.239999999998</v>
      </c>
      <c r="N157" s="63">
        <f>(N68*0.005)</f>
        <v>115016.44</v>
      </c>
      <c r="O157" s="63"/>
      <c r="P157" s="63"/>
      <c r="Q157" s="63"/>
      <c r="R157" s="75">
        <f t="shared" si="263"/>
        <v>115016.44</v>
      </c>
      <c r="T157" s="63">
        <f>(T68*0.005)</f>
        <v>22315.920000000002</v>
      </c>
      <c r="U157" s="63"/>
      <c r="V157" s="63"/>
      <c r="W157" s="63"/>
      <c r="X157" s="75">
        <f t="shared" si="264"/>
        <v>22315.920000000002</v>
      </c>
      <c r="Z157" s="63"/>
      <c r="AA157" s="63"/>
      <c r="AB157" s="63"/>
      <c r="AC157" s="63"/>
      <c r="AD157" s="75">
        <f t="shared" si="265"/>
        <v>0</v>
      </c>
      <c r="AF157" s="60">
        <f t="shared" si="266"/>
        <v>234128.84</v>
      </c>
      <c r="AG157" s="60">
        <f t="shared" si="267"/>
        <v>0</v>
      </c>
      <c r="AH157" s="60">
        <f t="shared" si="268"/>
        <v>0</v>
      </c>
      <c r="AI157" s="60">
        <f t="shared" si="269"/>
        <v>0</v>
      </c>
      <c r="AJ157" s="75">
        <f t="shared" si="270"/>
        <v>234128.84</v>
      </c>
    </row>
    <row r="158" spans="1:36" x14ac:dyDescent="0.25">
      <c r="A158" s="33" t="s">
        <v>115</v>
      </c>
      <c r="B158" s="64"/>
      <c r="C158" s="64"/>
      <c r="D158" s="64"/>
      <c r="E158" s="64"/>
      <c r="F158" s="75">
        <f t="shared" si="261"/>
        <v>0</v>
      </c>
      <c r="H158" s="64"/>
      <c r="I158" s="64"/>
      <c r="J158" s="64"/>
      <c r="K158" s="64"/>
      <c r="L158" s="75">
        <f t="shared" si="262"/>
        <v>0</v>
      </c>
      <c r="N158" s="64"/>
      <c r="O158" s="64"/>
      <c r="P158" s="64"/>
      <c r="Q158" s="64"/>
      <c r="R158" s="75">
        <f t="shared" si="263"/>
        <v>0</v>
      </c>
      <c r="T158" s="64"/>
      <c r="U158" s="64"/>
      <c r="V158" s="64"/>
      <c r="W158" s="64"/>
      <c r="X158" s="75">
        <f t="shared" si="264"/>
        <v>0</v>
      </c>
      <c r="Z158" s="64"/>
      <c r="AA158" s="64"/>
      <c r="AB158" s="64"/>
      <c r="AC158" s="64"/>
      <c r="AD158" s="75">
        <f t="shared" si="265"/>
        <v>0</v>
      </c>
      <c r="AF158" s="60">
        <f t="shared" si="266"/>
        <v>0</v>
      </c>
      <c r="AG158" s="60">
        <f t="shared" si="267"/>
        <v>0</v>
      </c>
      <c r="AH158" s="60">
        <f t="shared" si="268"/>
        <v>0</v>
      </c>
      <c r="AI158" s="60">
        <f t="shared" si="269"/>
        <v>0</v>
      </c>
      <c r="AJ158" s="75">
        <f t="shared" si="270"/>
        <v>0</v>
      </c>
    </row>
    <row r="159" spans="1:36" x14ac:dyDescent="0.25">
      <c r="A159" s="34"/>
      <c r="B159" s="76">
        <f>SUM(B152:B158)</f>
        <v>148271.47999999998</v>
      </c>
      <c r="C159" s="76">
        <f t="shared" ref="C159:E159" si="271">SUM(C152:C158)</f>
        <v>88375</v>
      </c>
      <c r="D159" s="76">
        <f t="shared" si="271"/>
        <v>0</v>
      </c>
      <c r="E159" s="76">
        <f t="shared" si="271"/>
        <v>0</v>
      </c>
      <c r="F159" s="76">
        <f t="shared" ref="F159" si="272">SUM(F152:F158)</f>
        <v>236646.47999999998</v>
      </c>
      <c r="H159" s="76">
        <f>SUM(H152:H158)</f>
        <v>179771.47999999998</v>
      </c>
      <c r="I159" s="76">
        <f t="shared" ref="I159:L159" si="273">SUM(I152:I158)</f>
        <v>86120</v>
      </c>
      <c r="J159" s="76">
        <f t="shared" si="273"/>
        <v>0</v>
      </c>
      <c r="K159" s="76">
        <f t="shared" si="273"/>
        <v>0</v>
      </c>
      <c r="L159" s="76">
        <f t="shared" si="273"/>
        <v>265891.48</v>
      </c>
      <c r="N159" s="76">
        <f>SUM(N152:N158)</f>
        <v>385532.88</v>
      </c>
      <c r="O159" s="76">
        <f t="shared" ref="O159:R159" si="274">SUM(O152:O158)</f>
        <v>212540</v>
      </c>
      <c r="P159" s="76">
        <f t="shared" si="274"/>
        <v>0</v>
      </c>
      <c r="Q159" s="76">
        <f t="shared" si="274"/>
        <v>0</v>
      </c>
      <c r="R159" s="76">
        <f t="shared" si="274"/>
        <v>598072.88</v>
      </c>
      <c r="T159" s="76">
        <f t="shared" ref="T159:W159" si="275">SUM(T152:T158)</f>
        <v>91986.84</v>
      </c>
      <c r="U159" s="76">
        <f t="shared" si="275"/>
        <v>101565</v>
      </c>
      <c r="V159" s="76">
        <f t="shared" si="275"/>
        <v>0</v>
      </c>
      <c r="W159" s="76">
        <f t="shared" si="275"/>
        <v>0</v>
      </c>
      <c r="X159" s="76">
        <f t="shared" ref="X159" si="276">SUM(X152:X158)</f>
        <v>193551.84000000003</v>
      </c>
      <c r="Z159" s="76">
        <f>SUM(Z152:Z158)</f>
        <v>0</v>
      </c>
      <c r="AA159" s="76">
        <f t="shared" ref="AA159:AC159" si="277">SUM(AA152:AA158)</f>
        <v>0</v>
      </c>
      <c r="AB159" s="76">
        <f t="shared" si="277"/>
        <v>0</v>
      </c>
      <c r="AC159" s="76">
        <f t="shared" si="277"/>
        <v>6500</v>
      </c>
      <c r="AD159" s="76">
        <f t="shared" ref="AD159" si="278">SUM(AD152:AD158)</f>
        <v>6500</v>
      </c>
      <c r="AF159" s="76">
        <f>SUM(AF152:AF158)</f>
        <v>805562.67999999993</v>
      </c>
      <c r="AG159" s="76">
        <f t="shared" ref="AG159:AI159" si="279">SUM(AG152:AG158)</f>
        <v>488600</v>
      </c>
      <c r="AH159" s="76">
        <f t="shared" si="279"/>
        <v>0</v>
      </c>
      <c r="AI159" s="76">
        <f t="shared" si="279"/>
        <v>6500</v>
      </c>
      <c r="AJ159" s="76">
        <f t="shared" ref="AJ159" si="280">SUM(AJ152:AJ158)</f>
        <v>1300662.6800000002</v>
      </c>
    </row>
    <row r="160" spans="1:36" x14ac:dyDescent="0.25">
      <c r="B160" s="77"/>
      <c r="C160" s="77"/>
      <c r="D160" s="77"/>
      <c r="E160" s="77"/>
      <c r="F160" s="77"/>
      <c r="H160" s="77"/>
      <c r="I160" s="77"/>
      <c r="J160" s="77"/>
      <c r="K160" s="77"/>
      <c r="L160" s="77"/>
      <c r="N160" s="77"/>
      <c r="O160" s="77"/>
      <c r="P160" s="77"/>
      <c r="Q160" s="77"/>
      <c r="R160" s="77"/>
      <c r="T160" s="77"/>
      <c r="U160" s="77"/>
      <c r="V160" s="77"/>
      <c r="W160" s="77"/>
      <c r="X160" s="77"/>
      <c r="Z160" s="77"/>
      <c r="AA160" s="77"/>
      <c r="AB160" s="77"/>
      <c r="AC160" s="77"/>
      <c r="AD160" s="77"/>
      <c r="AF160" s="77"/>
      <c r="AG160" s="77"/>
      <c r="AH160" s="77"/>
      <c r="AI160" s="77"/>
      <c r="AJ160" s="77"/>
    </row>
    <row r="161" spans="1:36" x14ac:dyDescent="0.25">
      <c r="A161" s="28"/>
      <c r="B161" s="78" t="s">
        <v>157</v>
      </c>
      <c r="C161" s="78" t="s">
        <v>158</v>
      </c>
      <c r="D161" s="78" t="s">
        <v>159</v>
      </c>
      <c r="E161" s="78" t="str">
        <f>E151</f>
        <v>Other</v>
      </c>
      <c r="F161" s="78" t="str">
        <f>F151</f>
        <v>FY26- Mtn</v>
      </c>
      <c r="H161" s="78" t="s">
        <v>157</v>
      </c>
      <c r="I161" s="78" t="s">
        <v>158</v>
      </c>
      <c r="J161" s="78" t="s">
        <v>159</v>
      </c>
      <c r="K161" s="78" t="str">
        <f>K151</f>
        <v>Other</v>
      </c>
      <c r="L161" s="78" t="str">
        <f>L151</f>
        <v>FY26- Bon</v>
      </c>
      <c r="N161" s="78" t="s">
        <v>157</v>
      </c>
      <c r="O161" s="78" t="s">
        <v>158</v>
      </c>
      <c r="P161" s="78" t="s">
        <v>159</v>
      </c>
      <c r="Q161" s="78" t="str">
        <f>Q151</f>
        <v>Other</v>
      </c>
      <c r="R161" s="78" t="str">
        <f>R151</f>
        <v>FY26- East</v>
      </c>
      <c r="T161" s="78" t="s">
        <v>157</v>
      </c>
      <c r="U161" s="78" t="s">
        <v>158</v>
      </c>
      <c r="V161" s="78" t="s">
        <v>159</v>
      </c>
      <c r="W161" s="78" t="str">
        <f>W151</f>
        <v>Other</v>
      </c>
      <c r="X161" s="78" t="str">
        <f>X151</f>
        <v>FY26- Cactus</v>
      </c>
      <c r="Z161" s="78" t="s">
        <v>157</v>
      </c>
      <c r="AA161" s="78" t="s">
        <v>158</v>
      </c>
      <c r="AB161" s="78" t="s">
        <v>159</v>
      </c>
      <c r="AC161" s="78" t="str">
        <f>AC151</f>
        <v>Grant</v>
      </c>
      <c r="AD161" s="78" t="str">
        <f>AD151</f>
        <v>FY26 - Central</v>
      </c>
      <c r="AF161" s="78" t="s">
        <v>157</v>
      </c>
      <c r="AG161" s="78" t="s">
        <v>158</v>
      </c>
      <c r="AH161" s="78" t="s">
        <v>159</v>
      </c>
      <c r="AI161" s="78" t="str">
        <f>AI151</f>
        <v>Grant</v>
      </c>
      <c r="AJ161" s="78" t="str">
        <f>AJ151</f>
        <v>FY26- Sys</v>
      </c>
    </row>
    <row r="162" spans="1:36" x14ac:dyDescent="0.25">
      <c r="A162" s="35" t="s">
        <v>109</v>
      </c>
      <c r="B162" s="75">
        <v>5000</v>
      </c>
      <c r="C162" s="75"/>
      <c r="D162" s="75"/>
      <c r="E162" s="75"/>
      <c r="F162" s="75">
        <f>SUM(B162:E162)</f>
        <v>5000</v>
      </c>
      <c r="H162" s="75">
        <v>5000</v>
      </c>
      <c r="I162" s="75"/>
      <c r="J162" s="75"/>
      <c r="K162" s="75"/>
      <c r="L162" s="75">
        <f>SUM(H162:K162)</f>
        <v>5000</v>
      </c>
      <c r="N162" s="75">
        <v>5000</v>
      </c>
      <c r="O162" s="75"/>
      <c r="P162" s="75"/>
      <c r="Q162" s="75"/>
      <c r="R162" s="75">
        <f>SUM(N162:Q162)</f>
        <v>5000</v>
      </c>
      <c r="T162" s="75">
        <v>0</v>
      </c>
      <c r="U162" s="75"/>
      <c r="V162" s="75"/>
      <c r="W162" s="75"/>
      <c r="X162" s="75">
        <f>SUM(T162:W162)</f>
        <v>0</v>
      </c>
      <c r="Z162" s="75"/>
      <c r="AA162" s="75"/>
      <c r="AB162" s="75"/>
      <c r="AC162" s="75"/>
      <c r="AD162" s="75">
        <f>SUM(Z162:AC162)</f>
        <v>0</v>
      </c>
      <c r="AF162" s="75">
        <f>B162+H162+N162+T162+Z162</f>
        <v>15000</v>
      </c>
      <c r="AG162" s="75">
        <f t="shared" ref="AG162:AI162" si="281">C162+I162+O162+U162+AA162</f>
        <v>0</v>
      </c>
      <c r="AH162" s="75">
        <f t="shared" si="281"/>
        <v>0</v>
      </c>
      <c r="AI162" s="75">
        <f t="shared" si="281"/>
        <v>0</v>
      </c>
      <c r="AJ162" s="75">
        <f>SUM(AF162:AI162)</f>
        <v>15000</v>
      </c>
    </row>
    <row r="163" spans="1:36" x14ac:dyDescent="0.25">
      <c r="A163" s="32" t="s">
        <v>112</v>
      </c>
      <c r="B163" s="63"/>
      <c r="C163" s="63"/>
      <c r="D163" s="63"/>
      <c r="E163" s="63"/>
      <c r="F163" s="75">
        <f t="shared" ref="F163:F170" si="282">SUM(B163:E163)</f>
        <v>0</v>
      </c>
      <c r="H163" s="63"/>
      <c r="I163" s="63"/>
      <c r="J163" s="63"/>
      <c r="K163" s="63"/>
      <c r="L163" s="75">
        <f t="shared" ref="L163:L170" si="283">SUM(H163:K163)</f>
        <v>0</v>
      </c>
      <c r="N163" s="89">
        <v>35000</v>
      </c>
      <c r="O163" s="63"/>
      <c r="P163" s="63"/>
      <c r="Q163" s="63"/>
      <c r="R163" s="75">
        <f t="shared" ref="R163:R170" si="284">SUM(N163:Q163)</f>
        <v>35000</v>
      </c>
      <c r="T163" s="63"/>
      <c r="U163" s="63"/>
      <c r="V163" s="63"/>
      <c r="W163" s="63"/>
      <c r="X163" s="75">
        <f t="shared" ref="X163:X170" si="285">SUM(T163:W163)</f>
        <v>0</v>
      </c>
      <c r="Z163" s="63"/>
      <c r="AA163" s="63"/>
      <c r="AB163" s="63"/>
      <c r="AC163" s="63"/>
      <c r="AD163" s="75">
        <f t="shared" ref="AD163:AD170" si="286">SUM(Z163:AC163)</f>
        <v>0</v>
      </c>
      <c r="AF163" s="75">
        <f t="shared" ref="AF163:AF170" si="287">B163+H163+N163+T163+Z163</f>
        <v>35000</v>
      </c>
      <c r="AG163" s="75">
        <f t="shared" ref="AG163:AG170" si="288">C163+I163+O163+U163+AA163</f>
        <v>0</v>
      </c>
      <c r="AH163" s="75">
        <f t="shared" ref="AH163:AH170" si="289">D163+J163+P163+V163+AB163</f>
        <v>0</v>
      </c>
      <c r="AI163" s="75">
        <f t="shared" ref="AI163:AI170" si="290">E163+K163+Q163+W163+AC163</f>
        <v>0</v>
      </c>
      <c r="AJ163" s="75">
        <f t="shared" ref="AJ163:AJ170" si="291">SUM(AF163:AI163)</f>
        <v>35000</v>
      </c>
    </row>
    <row r="164" spans="1:36" x14ac:dyDescent="0.25">
      <c r="A164" s="32" t="s">
        <v>116</v>
      </c>
      <c r="B164" s="63">
        <f>495*B17</f>
        <v>508860</v>
      </c>
      <c r="C164" s="63"/>
      <c r="D164" s="63"/>
      <c r="E164" s="63"/>
      <c r="F164" s="75">
        <f t="shared" si="282"/>
        <v>508860</v>
      </c>
      <c r="H164" s="63">
        <f>495*H17</f>
        <v>508860</v>
      </c>
      <c r="I164" s="63"/>
      <c r="J164" s="63"/>
      <c r="K164" s="63"/>
      <c r="L164" s="75">
        <f t="shared" si="283"/>
        <v>508860</v>
      </c>
      <c r="N164" s="63">
        <f>495*N17</f>
        <v>1209285</v>
      </c>
      <c r="O164" s="63"/>
      <c r="P164" s="63"/>
      <c r="Q164" s="63"/>
      <c r="R164" s="75">
        <f t="shared" si="284"/>
        <v>1209285</v>
      </c>
      <c r="T164" s="63">
        <f>495*T17</f>
        <v>234630</v>
      </c>
      <c r="U164" s="63"/>
      <c r="V164" s="63"/>
      <c r="W164" s="63"/>
      <c r="X164" s="75">
        <f t="shared" si="285"/>
        <v>234630</v>
      </c>
      <c r="Z164" s="63"/>
      <c r="AA164" s="63"/>
      <c r="AB164" s="63"/>
      <c r="AC164" s="63"/>
      <c r="AD164" s="75">
        <f t="shared" si="286"/>
        <v>0</v>
      </c>
      <c r="AF164" s="75">
        <f t="shared" si="287"/>
        <v>2461635</v>
      </c>
      <c r="AG164" s="75">
        <f t="shared" si="288"/>
        <v>0</v>
      </c>
      <c r="AH164" s="75">
        <f t="shared" si="289"/>
        <v>0</v>
      </c>
      <c r="AI164" s="75">
        <f t="shared" si="290"/>
        <v>0</v>
      </c>
      <c r="AJ164" s="75">
        <f t="shared" si="291"/>
        <v>2461635</v>
      </c>
    </row>
    <row r="165" spans="1:36" x14ac:dyDescent="0.25">
      <c r="A165" s="32" t="s">
        <v>117</v>
      </c>
      <c r="B165" s="61">
        <f>3700*12</f>
        <v>44400</v>
      </c>
      <c r="C165" s="63"/>
      <c r="D165" s="63"/>
      <c r="E165" s="63"/>
      <c r="F165" s="75">
        <f t="shared" si="282"/>
        <v>44400</v>
      </c>
      <c r="H165" s="61">
        <f>3700*12</f>
        <v>44400</v>
      </c>
      <c r="I165" s="63"/>
      <c r="J165" s="63"/>
      <c r="K165" s="63"/>
      <c r="L165" s="75">
        <f t="shared" si="283"/>
        <v>44400</v>
      </c>
      <c r="N165" s="61">
        <f>9000*12</f>
        <v>108000</v>
      </c>
      <c r="O165" s="63"/>
      <c r="P165" s="63"/>
      <c r="Q165" s="63"/>
      <c r="R165" s="75">
        <f t="shared" si="284"/>
        <v>108000</v>
      </c>
      <c r="T165" s="61">
        <f>600*12</f>
        <v>7200</v>
      </c>
      <c r="U165" s="63"/>
      <c r="V165" s="63"/>
      <c r="W165" s="63"/>
      <c r="X165" s="75">
        <f t="shared" si="285"/>
        <v>7200</v>
      </c>
      <c r="Z165" s="61">
        <v>10000</v>
      </c>
      <c r="AA165" s="63"/>
      <c r="AB165" s="63"/>
      <c r="AC165" s="63"/>
      <c r="AD165" s="75">
        <f t="shared" si="286"/>
        <v>10000</v>
      </c>
      <c r="AF165" s="75">
        <f t="shared" si="287"/>
        <v>214000</v>
      </c>
      <c r="AG165" s="75">
        <f t="shared" si="288"/>
        <v>0</v>
      </c>
      <c r="AH165" s="75">
        <f t="shared" si="289"/>
        <v>0</v>
      </c>
      <c r="AI165" s="75">
        <f t="shared" si="290"/>
        <v>0</v>
      </c>
      <c r="AJ165" s="75">
        <f t="shared" si="291"/>
        <v>214000</v>
      </c>
    </row>
    <row r="166" spans="1:36" x14ac:dyDescent="0.25">
      <c r="A166" s="32" t="s">
        <v>118</v>
      </c>
      <c r="B166" s="63">
        <v>22500</v>
      </c>
      <c r="C166" s="63"/>
      <c r="D166" s="63"/>
      <c r="E166" s="63"/>
      <c r="F166" s="75">
        <f t="shared" si="282"/>
        <v>22500</v>
      </c>
      <c r="H166" s="63">
        <v>22500</v>
      </c>
      <c r="I166" s="63"/>
      <c r="J166" s="63"/>
      <c r="K166" s="63"/>
      <c r="L166" s="75">
        <f t="shared" si="283"/>
        <v>22500</v>
      </c>
      <c r="N166" s="63">
        <v>30000</v>
      </c>
      <c r="O166" s="63"/>
      <c r="P166" s="63"/>
      <c r="Q166" s="63"/>
      <c r="R166" s="75">
        <f t="shared" si="284"/>
        <v>30000</v>
      </c>
      <c r="T166" s="63">
        <v>30000</v>
      </c>
      <c r="U166" s="63"/>
      <c r="V166" s="63"/>
      <c r="W166" s="63"/>
      <c r="X166" s="75">
        <f t="shared" si="285"/>
        <v>30000</v>
      </c>
      <c r="Z166" s="63"/>
      <c r="AA166" s="63"/>
      <c r="AB166" s="63"/>
      <c r="AC166" s="63"/>
      <c r="AD166" s="75">
        <f t="shared" si="286"/>
        <v>0</v>
      </c>
      <c r="AF166" s="75">
        <f t="shared" si="287"/>
        <v>105000</v>
      </c>
      <c r="AG166" s="75">
        <f t="shared" si="288"/>
        <v>0</v>
      </c>
      <c r="AH166" s="75">
        <f t="shared" si="289"/>
        <v>0</v>
      </c>
      <c r="AI166" s="75">
        <f t="shared" si="290"/>
        <v>0</v>
      </c>
      <c r="AJ166" s="75">
        <f t="shared" si="291"/>
        <v>105000</v>
      </c>
    </row>
    <row r="167" spans="1:36" x14ac:dyDescent="0.25">
      <c r="A167" s="32" t="s">
        <v>119</v>
      </c>
      <c r="B167" s="63">
        <v>32500</v>
      </c>
      <c r="C167" s="63"/>
      <c r="D167" s="63"/>
      <c r="E167" s="63"/>
      <c r="F167" s="75">
        <f t="shared" si="282"/>
        <v>32500</v>
      </c>
      <c r="H167" s="63">
        <v>30000</v>
      </c>
      <c r="I167" s="63"/>
      <c r="J167" s="63"/>
      <c r="K167" s="63"/>
      <c r="L167" s="75">
        <f t="shared" si="283"/>
        <v>30000</v>
      </c>
      <c r="N167" s="63">
        <v>50000</v>
      </c>
      <c r="O167" s="63"/>
      <c r="P167" s="63"/>
      <c r="Q167" s="63"/>
      <c r="R167" s="75">
        <f t="shared" si="284"/>
        <v>50000</v>
      </c>
      <c r="T167" s="63">
        <v>20000</v>
      </c>
      <c r="U167" s="63"/>
      <c r="V167" s="63"/>
      <c r="W167" s="63"/>
      <c r="X167" s="75">
        <f t="shared" si="285"/>
        <v>20000</v>
      </c>
      <c r="Z167" s="63"/>
      <c r="AA167" s="63"/>
      <c r="AB167" s="63"/>
      <c r="AC167" s="63"/>
      <c r="AD167" s="75">
        <f t="shared" si="286"/>
        <v>0</v>
      </c>
      <c r="AF167" s="75">
        <f t="shared" si="287"/>
        <v>132500</v>
      </c>
      <c r="AG167" s="75">
        <f t="shared" si="288"/>
        <v>0</v>
      </c>
      <c r="AH167" s="75">
        <f t="shared" si="289"/>
        <v>0</v>
      </c>
      <c r="AI167" s="75">
        <f t="shared" si="290"/>
        <v>0</v>
      </c>
      <c r="AJ167" s="75">
        <f t="shared" si="291"/>
        <v>132500</v>
      </c>
    </row>
    <row r="168" spans="1:36" x14ac:dyDescent="0.25">
      <c r="A168" s="32" t="s">
        <v>120</v>
      </c>
      <c r="B168" s="63">
        <f>(44*B17)</f>
        <v>45232</v>
      </c>
      <c r="C168" s="63"/>
      <c r="D168" s="63"/>
      <c r="E168" s="63"/>
      <c r="F168" s="75">
        <f t="shared" si="282"/>
        <v>45232</v>
      </c>
      <c r="H168" s="63">
        <f>(44*H17)</f>
        <v>45232</v>
      </c>
      <c r="I168" s="63"/>
      <c r="J168" s="63"/>
      <c r="K168" s="63"/>
      <c r="L168" s="75">
        <f t="shared" si="283"/>
        <v>45232</v>
      </c>
      <c r="N168" s="63">
        <f>(44*N17)</f>
        <v>107492</v>
      </c>
      <c r="O168" s="63"/>
      <c r="P168" s="63"/>
      <c r="Q168" s="63"/>
      <c r="R168" s="75">
        <f t="shared" si="284"/>
        <v>107492</v>
      </c>
      <c r="T168" s="63">
        <f>(44*T17)</f>
        <v>20856</v>
      </c>
      <c r="U168" s="63"/>
      <c r="V168" s="63"/>
      <c r="W168" s="63"/>
      <c r="X168" s="75">
        <f t="shared" si="285"/>
        <v>20856</v>
      </c>
      <c r="Z168" s="63"/>
      <c r="AA168" s="63"/>
      <c r="AB168" s="63"/>
      <c r="AC168" s="63"/>
      <c r="AD168" s="75">
        <f t="shared" si="286"/>
        <v>0</v>
      </c>
      <c r="AF168" s="75">
        <f t="shared" si="287"/>
        <v>218812</v>
      </c>
      <c r="AG168" s="75">
        <f t="shared" si="288"/>
        <v>0</v>
      </c>
      <c r="AH168" s="75">
        <f t="shared" si="289"/>
        <v>0</v>
      </c>
      <c r="AI168" s="75">
        <f t="shared" si="290"/>
        <v>0</v>
      </c>
      <c r="AJ168" s="75">
        <f t="shared" si="291"/>
        <v>218812</v>
      </c>
    </row>
    <row r="169" spans="1:36" x14ac:dyDescent="0.25">
      <c r="A169" s="32" t="s">
        <v>121</v>
      </c>
      <c r="B169" s="63">
        <v>0</v>
      </c>
      <c r="C169" s="63"/>
      <c r="D169" s="63"/>
      <c r="E169" s="63"/>
      <c r="F169" s="75">
        <f t="shared" si="282"/>
        <v>0</v>
      </c>
      <c r="H169" s="63">
        <v>0</v>
      </c>
      <c r="I169" s="63"/>
      <c r="J169" s="63"/>
      <c r="K169" s="63"/>
      <c r="L169" s="75">
        <f t="shared" si="283"/>
        <v>0</v>
      </c>
      <c r="N169" s="63">
        <v>0</v>
      </c>
      <c r="O169" s="63"/>
      <c r="P169" s="63"/>
      <c r="Q169" s="63"/>
      <c r="R169" s="75">
        <f t="shared" si="284"/>
        <v>0</v>
      </c>
      <c r="T169" s="63">
        <v>0</v>
      </c>
      <c r="U169" s="63"/>
      <c r="V169" s="63"/>
      <c r="W169" s="63"/>
      <c r="X169" s="75">
        <f t="shared" si="285"/>
        <v>0</v>
      </c>
      <c r="Z169" s="63"/>
      <c r="AA169" s="63"/>
      <c r="AB169" s="63"/>
      <c r="AC169" s="63"/>
      <c r="AD169" s="75">
        <f t="shared" si="286"/>
        <v>0</v>
      </c>
      <c r="AF169" s="75">
        <f t="shared" si="287"/>
        <v>0</v>
      </c>
      <c r="AG169" s="75">
        <f t="shared" si="288"/>
        <v>0</v>
      </c>
      <c r="AH169" s="75">
        <f t="shared" si="289"/>
        <v>0</v>
      </c>
      <c r="AI169" s="75">
        <f t="shared" si="290"/>
        <v>0</v>
      </c>
      <c r="AJ169" s="75">
        <f t="shared" si="291"/>
        <v>0</v>
      </c>
    </row>
    <row r="170" spans="1:36" x14ac:dyDescent="0.25">
      <c r="A170" s="33" t="s">
        <v>122</v>
      </c>
      <c r="B170" s="64">
        <f>B68*0.0125</f>
        <v>120995.6</v>
      </c>
      <c r="C170" s="64"/>
      <c r="D170" s="64"/>
      <c r="E170" s="64"/>
      <c r="F170" s="75">
        <f t="shared" si="282"/>
        <v>120995.6</v>
      </c>
      <c r="H170" s="64">
        <f>H68*0.0125</f>
        <v>120995.6</v>
      </c>
      <c r="I170" s="64"/>
      <c r="J170" s="64"/>
      <c r="K170" s="64"/>
      <c r="L170" s="75">
        <f t="shared" si="283"/>
        <v>120995.6</v>
      </c>
      <c r="N170" s="64">
        <f>N68*0.0125</f>
        <v>287541.10000000003</v>
      </c>
      <c r="O170" s="64"/>
      <c r="P170" s="64"/>
      <c r="Q170" s="64"/>
      <c r="R170" s="75">
        <f t="shared" si="284"/>
        <v>287541.10000000003</v>
      </c>
      <c r="T170" s="64">
        <f>T68*0.0125</f>
        <v>55789.8</v>
      </c>
      <c r="U170" s="64"/>
      <c r="V170" s="64"/>
      <c r="W170" s="64"/>
      <c r="X170" s="75">
        <f t="shared" si="285"/>
        <v>55789.8</v>
      </c>
      <c r="Z170" s="64">
        <v>-363383</v>
      </c>
      <c r="AA170" s="64"/>
      <c r="AB170" s="64"/>
      <c r="AC170" s="64"/>
      <c r="AD170" s="75">
        <f t="shared" si="286"/>
        <v>-363383</v>
      </c>
      <c r="AF170" s="75">
        <f t="shared" si="287"/>
        <v>221939.10000000009</v>
      </c>
      <c r="AG170" s="75">
        <f t="shared" si="288"/>
        <v>0</v>
      </c>
      <c r="AH170" s="75">
        <f t="shared" si="289"/>
        <v>0</v>
      </c>
      <c r="AI170" s="75">
        <f t="shared" si="290"/>
        <v>0</v>
      </c>
      <c r="AJ170" s="75">
        <f t="shared" si="291"/>
        <v>221939.10000000009</v>
      </c>
    </row>
    <row r="171" spans="1:36" x14ac:dyDescent="0.25">
      <c r="A171" s="34"/>
      <c r="B171" s="76">
        <f>SUM(B162:B170)</f>
        <v>779487.6</v>
      </c>
      <c r="C171" s="76">
        <f t="shared" ref="C171:E171" si="292">SUM(C162:C170)</f>
        <v>0</v>
      </c>
      <c r="D171" s="76">
        <f t="shared" si="292"/>
        <v>0</v>
      </c>
      <c r="E171" s="76">
        <f t="shared" si="292"/>
        <v>0</v>
      </c>
      <c r="F171" s="76">
        <f t="shared" ref="F171" si="293">SUM(F162:F170)</f>
        <v>779487.6</v>
      </c>
      <c r="H171" s="76">
        <f>SUM(H162:H170)</f>
        <v>776987.6</v>
      </c>
      <c r="I171" s="76">
        <f t="shared" ref="I171:L171" si="294">SUM(I162:I170)</f>
        <v>0</v>
      </c>
      <c r="J171" s="76">
        <f t="shared" si="294"/>
        <v>0</v>
      </c>
      <c r="K171" s="76">
        <f t="shared" si="294"/>
        <v>0</v>
      </c>
      <c r="L171" s="76">
        <f t="shared" si="294"/>
        <v>776987.6</v>
      </c>
      <c r="N171" s="76">
        <f>SUM(N162:N170)</f>
        <v>1832318.1</v>
      </c>
      <c r="O171" s="76">
        <f t="shared" ref="O171:R171" si="295">SUM(O162:O170)</f>
        <v>0</v>
      </c>
      <c r="P171" s="76">
        <f t="shared" si="295"/>
        <v>0</v>
      </c>
      <c r="Q171" s="76">
        <f t="shared" si="295"/>
        <v>0</v>
      </c>
      <c r="R171" s="76">
        <f t="shared" si="295"/>
        <v>1832318.1</v>
      </c>
      <c r="T171" s="76">
        <f>SUM(T162:T170)</f>
        <v>368475.8</v>
      </c>
      <c r="U171" s="76">
        <f t="shared" ref="U171:X171" si="296">SUM(U162:U170)</f>
        <v>0</v>
      </c>
      <c r="V171" s="76">
        <f t="shared" si="296"/>
        <v>0</v>
      </c>
      <c r="W171" s="76">
        <f t="shared" si="296"/>
        <v>0</v>
      </c>
      <c r="X171" s="76">
        <f t="shared" si="296"/>
        <v>368475.8</v>
      </c>
      <c r="Z171" s="76">
        <f>SUM(Z162:Z170)</f>
        <v>-353383</v>
      </c>
      <c r="AA171" s="76">
        <f t="shared" ref="AA171:AC171" si="297">SUM(AA162:AA170)</f>
        <v>0</v>
      </c>
      <c r="AB171" s="76">
        <f t="shared" si="297"/>
        <v>0</v>
      </c>
      <c r="AC171" s="76">
        <f t="shared" si="297"/>
        <v>0</v>
      </c>
      <c r="AD171" s="76">
        <f t="shared" ref="AD171" si="298">SUM(AD162:AD170)</f>
        <v>-353383</v>
      </c>
      <c r="AF171" s="76">
        <f>SUM(AF162:AF170)</f>
        <v>3403886.1</v>
      </c>
      <c r="AG171" s="76">
        <f t="shared" ref="AG171:AI171" si="299">SUM(AG162:AG170)</f>
        <v>0</v>
      </c>
      <c r="AH171" s="76">
        <f t="shared" si="299"/>
        <v>0</v>
      </c>
      <c r="AI171" s="76">
        <f t="shared" si="299"/>
        <v>0</v>
      </c>
      <c r="AJ171" s="76">
        <f t="shared" ref="AJ171" si="300">SUM(AJ162:AJ170)</f>
        <v>3403886.1</v>
      </c>
    </row>
    <row r="172" spans="1:36" x14ac:dyDescent="0.25">
      <c r="B172" s="77"/>
      <c r="C172" s="77"/>
      <c r="D172" s="77"/>
      <c r="E172" s="77"/>
      <c r="F172" s="77"/>
      <c r="H172" s="77"/>
      <c r="I172" s="77"/>
      <c r="J172" s="77"/>
      <c r="K172" s="77"/>
      <c r="L172" s="77"/>
      <c r="N172" s="77"/>
      <c r="O172" s="77"/>
      <c r="P172" s="77"/>
      <c r="Q172" s="77"/>
      <c r="R172" s="77"/>
      <c r="T172" s="77"/>
      <c r="U172" s="77"/>
      <c r="V172" s="77"/>
      <c r="W172" s="77"/>
      <c r="X172" s="77"/>
      <c r="Z172" s="77"/>
      <c r="AA172" s="77"/>
      <c r="AB172" s="77"/>
      <c r="AC172" s="77"/>
      <c r="AD172" s="77"/>
      <c r="AF172" s="77"/>
      <c r="AG172" s="77"/>
      <c r="AH172" s="77"/>
      <c r="AI172" s="77"/>
      <c r="AJ172" s="77"/>
    </row>
    <row r="173" spans="1:36" x14ac:dyDescent="0.25">
      <c r="A173" s="28"/>
      <c r="B173" s="78" t="s">
        <v>157</v>
      </c>
      <c r="C173" s="78" t="s">
        <v>158</v>
      </c>
      <c r="D173" s="78" t="s">
        <v>159</v>
      </c>
      <c r="E173" s="78" t="str">
        <f>E161</f>
        <v>Other</v>
      </c>
      <c r="F173" s="78" t="str">
        <f>F161</f>
        <v>FY26- Mtn</v>
      </c>
      <c r="H173" s="78" t="s">
        <v>157</v>
      </c>
      <c r="I173" s="78" t="s">
        <v>158</v>
      </c>
      <c r="J173" s="78" t="s">
        <v>159</v>
      </c>
      <c r="K173" s="78" t="str">
        <f>K161</f>
        <v>Other</v>
      </c>
      <c r="L173" s="78" t="str">
        <f>L161</f>
        <v>FY26- Bon</v>
      </c>
      <c r="N173" s="78" t="s">
        <v>157</v>
      </c>
      <c r="O173" s="78" t="s">
        <v>158</v>
      </c>
      <c r="P173" s="78" t="s">
        <v>159</v>
      </c>
      <c r="Q173" s="78" t="str">
        <f>Q161</f>
        <v>Other</v>
      </c>
      <c r="R173" s="78" t="str">
        <f>R161</f>
        <v>FY26- East</v>
      </c>
      <c r="T173" s="78" t="s">
        <v>157</v>
      </c>
      <c r="U173" s="78" t="s">
        <v>158</v>
      </c>
      <c r="V173" s="78" t="s">
        <v>159</v>
      </c>
      <c r="W173" s="78" t="str">
        <f>W161</f>
        <v>Other</v>
      </c>
      <c r="X173" s="78" t="str">
        <f>X161</f>
        <v>FY26- Cactus</v>
      </c>
      <c r="Z173" s="78" t="s">
        <v>157</v>
      </c>
      <c r="AA173" s="78" t="s">
        <v>158</v>
      </c>
      <c r="AB173" s="78" t="s">
        <v>159</v>
      </c>
      <c r="AC173" s="78" t="str">
        <f>AC161</f>
        <v>Grant</v>
      </c>
      <c r="AD173" s="78" t="str">
        <f>AD161</f>
        <v>FY26 - Central</v>
      </c>
      <c r="AF173" s="78" t="s">
        <v>157</v>
      </c>
      <c r="AG173" s="78" t="s">
        <v>158</v>
      </c>
      <c r="AH173" s="78" t="s">
        <v>159</v>
      </c>
      <c r="AI173" s="78" t="str">
        <f>AI161</f>
        <v>Grant</v>
      </c>
      <c r="AJ173" s="78" t="str">
        <f>AJ161</f>
        <v>FY26- Sys</v>
      </c>
    </row>
    <row r="174" spans="1:36" x14ac:dyDescent="0.25">
      <c r="A174" s="35" t="s">
        <v>123</v>
      </c>
      <c r="B174" s="75">
        <f>(400*12)+7800</f>
        <v>12600</v>
      </c>
      <c r="C174" s="75"/>
      <c r="D174" s="75"/>
      <c r="E174" s="75"/>
      <c r="F174" s="75">
        <f>SUM(B174:E174)</f>
        <v>12600</v>
      </c>
      <c r="H174" s="75">
        <f>(400*12)+7800</f>
        <v>12600</v>
      </c>
      <c r="I174" s="75"/>
      <c r="J174" s="75"/>
      <c r="K174" s="75"/>
      <c r="L174" s="75">
        <f>SUM(H174:K174)</f>
        <v>12600</v>
      </c>
      <c r="N174" s="75">
        <f>9600+17400</f>
        <v>27000</v>
      </c>
      <c r="O174" s="75"/>
      <c r="P174" s="75"/>
      <c r="Q174" s="75"/>
      <c r="R174" s="75">
        <f>SUM(N174:Q174)</f>
        <v>27000</v>
      </c>
      <c r="T174" s="60">
        <f>(1060*12)+(60*12)</f>
        <v>13440</v>
      </c>
      <c r="U174" s="75"/>
      <c r="V174" s="75"/>
      <c r="W174" s="75"/>
      <c r="X174" s="75">
        <f>SUM(T174:W174)</f>
        <v>13440</v>
      </c>
      <c r="Z174" s="60"/>
      <c r="AA174" s="60"/>
      <c r="AB174" s="60"/>
      <c r="AC174" s="60"/>
      <c r="AD174" s="75">
        <f>SUM(Z174:AC174)</f>
        <v>0</v>
      </c>
      <c r="AF174" s="60">
        <f>B174+H174+N174+T174+Z174</f>
        <v>65640</v>
      </c>
      <c r="AG174" s="60">
        <f t="shared" ref="AG174:AI174" si="301">C174+I174+O174+U174+AA174</f>
        <v>0</v>
      </c>
      <c r="AH174" s="60">
        <f t="shared" si="301"/>
        <v>0</v>
      </c>
      <c r="AI174" s="60">
        <f t="shared" si="301"/>
        <v>0</v>
      </c>
      <c r="AJ174" s="75">
        <f>SUM(AF174:AI174)</f>
        <v>65640</v>
      </c>
    </row>
    <row r="175" spans="1:36" x14ac:dyDescent="0.25">
      <c r="A175" s="32" t="s">
        <v>124</v>
      </c>
      <c r="B175" s="75">
        <v>1000</v>
      </c>
      <c r="C175" s="63"/>
      <c r="D175" s="63"/>
      <c r="E175" s="63"/>
      <c r="F175" s="75">
        <f t="shared" ref="F175:F193" si="302">SUM(B175:E175)</f>
        <v>1000</v>
      </c>
      <c r="H175" s="75">
        <v>1000</v>
      </c>
      <c r="I175" s="63"/>
      <c r="J175" s="63"/>
      <c r="K175" s="63"/>
      <c r="L175" s="75">
        <f t="shared" ref="L175:L193" si="303">SUM(H175:K175)</f>
        <v>1000</v>
      </c>
      <c r="N175" s="75">
        <v>2000</v>
      </c>
      <c r="O175" s="63"/>
      <c r="P175" s="63"/>
      <c r="Q175" s="63"/>
      <c r="R175" s="75">
        <f t="shared" ref="R175:R193" si="304">SUM(N175:Q175)</f>
        <v>2000</v>
      </c>
      <c r="T175" s="60">
        <v>500</v>
      </c>
      <c r="U175" s="63"/>
      <c r="V175" s="63"/>
      <c r="W175" s="63"/>
      <c r="X175" s="75">
        <f t="shared" ref="X175:X193" si="305">SUM(T175:W175)</f>
        <v>500</v>
      </c>
      <c r="Z175" s="60"/>
      <c r="AA175" s="61"/>
      <c r="AB175" s="61"/>
      <c r="AC175" s="61"/>
      <c r="AD175" s="75">
        <f t="shared" ref="AD175:AD193" si="306">SUM(Z175:AC175)</f>
        <v>0</v>
      </c>
      <c r="AF175" s="60">
        <f t="shared" ref="AF175:AF193" si="307">B175+H175+N175+T175+Z175</f>
        <v>4500</v>
      </c>
      <c r="AG175" s="60">
        <f t="shared" ref="AG175:AG193" si="308">C175+I175+O175+U175+AA175</f>
        <v>0</v>
      </c>
      <c r="AH175" s="60">
        <f t="shared" ref="AH175:AH193" si="309">D175+J175+P175+V175+AB175</f>
        <v>0</v>
      </c>
      <c r="AI175" s="60">
        <f t="shared" ref="AI175:AI193" si="310">E175+K175+Q175+W175+AC175</f>
        <v>0</v>
      </c>
      <c r="AJ175" s="75">
        <f t="shared" ref="AJ175:AJ193" si="311">SUM(AF175:AI175)</f>
        <v>4500</v>
      </c>
    </row>
    <row r="176" spans="1:36" x14ac:dyDescent="0.25">
      <c r="A176" s="32" t="s">
        <v>125</v>
      </c>
      <c r="B176" s="60">
        <v>6500</v>
      </c>
      <c r="C176" s="63"/>
      <c r="D176" s="63"/>
      <c r="E176" s="63"/>
      <c r="F176" s="75">
        <f t="shared" si="302"/>
        <v>6500</v>
      </c>
      <c r="H176" s="60">
        <v>6500</v>
      </c>
      <c r="I176" s="63"/>
      <c r="J176" s="63"/>
      <c r="K176" s="63"/>
      <c r="L176" s="75">
        <f t="shared" si="303"/>
        <v>6500</v>
      </c>
      <c r="N176" s="60">
        <v>6500</v>
      </c>
      <c r="O176" s="63"/>
      <c r="P176" s="63"/>
      <c r="Q176" s="63"/>
      <c r="R176" s="75">
        <f t="shared" si="304"/>
        <v>6500</v>
      </c>
      <c r="T176" s="60">
        <v>6500</v>
      </c>
      <c r="U176" s="63"/>
      <c r="V176" s="63"/>
      <c r="W176" s="63"/>
      <c r="X176" s="75">
        <f t="shared" si="305"/>
        <v>6500</v>
      </c>
      <c r="Z176" s="60"/>
      <c r="AA176" s="61"/>
      <c r="AB176" s="61"/>
      <c r="AC176" s="61"/>
      <c r="AD176" s="75">
        <f t="shared" si="306"/>
        <v>0</v>
      </c>
      <c r="AF176" s="60">
        <f t="shared" si="307"/>
        <v>26000</v>
      </c>
      <c r="AG176" s="60">
        <f t="shared" si="308"/>
        <v>0</v>
      </c>
      <c r="AH176" s="60">
        <f t="shared" si="309"/>
        <v>0</v>
      </c>
      <c r="AI176" s="60">
        <f t="shared" si="310"/>
        <v>0</v>
      </c>
      <c r="AJ176" s="75">
        <f t="shared" si="311"/>
        <v>26000</v>
      </c>
    </row>
    <row r="177" spans="1:36" x14ac:dyDescent="0.25">
      <c r="A177" s="32" t="s">
        <v>126</v>
      </c>
      <c r="B177" s="60">
        <v>39000</v>
      </c>
      <c r="C177" s="63"/>
      <c r="D177" s="63"/>
      <c r="E177" s="63"/>
      <c r="F177" s="75">
        <f t="shared" si="302"/>
        <v>39000</v>
      </c>
      <c r="H177" s="60">
        <v>39000</v>
      </c>
      <c r="I177" s="63"/>
      <c r="J177" s="63"/>
      <c r="K177" s="63"/>
      <c r="L177" s="75">
        <f t="shared" si="303"/>
        <v>39000</v>
      </c>
      <c r="N177" s="60">
        <v>100000</v>
      </c>
      <c r="O177" s="63"/>
      <c r="P177" s="63"/>
      <c r="Q177" s="63"/>
      <c r="R177" s="75">
        <f t="shared" si="304"/>
        <v>100000</v>
      </c>
      <c r="T177" s="60">
        <v>17500</v>
      </c>
      <c r="U177" s="63"/>
      <c r="V177" s="63"/>
      <c r="W177" s="63"/>
      <c r="X177" s="75">
        <f t="shared" si="305"/>
        <v>17500</v>
      </c>
      <c r="Z177" s="60"/>
      <c r="AA177" s="61"/>
      <c r="AB177" s="61"/>
      <c r="AC177" s="61"/>
      <c r="AD177" s="75">
        <f t="shared" si="306"/>
        <v>0</v>
      </c>
      <c r="AF177" s="60">
        <f t="shared" si="307"/>
        <v>195500</v>
      </c>
      <c r="AG177" s="60">
        <f t="shared" si="308"/>
        <v>0</v>
      </c>
      <c r="AH177" s="60">
        <f t="shared" si="309"/>
        <v>0</v>
      </c>
      <c r="AI177" s="60">
        <f t="shared" si="310"/>
        <v>0</v>
      </c>
      <c r="AJ177" s="75">
        <f t="shared" si="311"/>
        <v>195500</v>
      </c>
    </row>
    <row r="178" spans="1:36" x14ac:dyDescent="0.25">
      <c r="A178" s="32" t="s">
        <v>127</v>
      </c>
      <c r="B178" s="60">
        <f>(2+2.5+0.4+1.95)*B17</f>
        <v>7041.8</v>
      </c>
      <c r="C178" s="63"/>
      <c r="D178" s="63"/>
      <c r="E178" s="63"/>
      <c r="F178" s="75">
        <f t="shared" si="302"/>
        <v>7041.8</v>
      </c>
      <c r="H178" s="60">
        <f>(2+2.5+0.4+1.95)*H17</f>
        <v>7041.8</v>
      </c>
      <c r="I178" s="63"/>
      <c r="J178" s="63"/>
      <c r="K178" s="63"/>
      <c r="L178" s="75">
        <f t="shared" si="303"/>
        <v>7041.8</v>
      </c>
      <c r="N178" s="60">
        <f>(2+2.5+0.4+1.95)*N17</f>
        <v>16734.550000000003</v>
      </c>
      <c r="O178" s="63"/>
      <c r="P178" s="63"/>
      <c r="Q178" s="63"/>
      <c r="R178" s="75">
        <f t="shared" si="304"/>
        <v>16734.550000000003</v>
      </c>
      <c r="T178" s="60">
        <f>(2+2.5+0.4+1.95)*T17</f>
        <v>3246.9</v>
      </c>
      <c r="U178" s="63"/>
      <c r="V178" s="63"/>
      <c r="W178" s="63"/>
      <c r="X178" s="75">
        <f t="shared" si="305"/>
        <v>3246.9</v>
      </c>
      <c r="Z178" s="60"/>
      <c r="AA178" s="61"/>
      <c r="AB178" s="61"/>
      <c r="AC178" s="61"/>
      <c r="AD178" s="75">
        <f t="shared" si="306"/>
        <v>0</v>
      </c>
      <c r="AF178" s="60">
        <f t="shared" si="307"/>
        <v>34065.050000000003</v>
      </c>
      <c r="AG178" s="60">
        <f t="shared" si="308"/>
        <v>0</v>
      </c>
      <c r="AH178" s="60">
        <f t="shared" si="309"/>
        <v>0</v>
      </c>
      <c r="AI178" s="60">
        <f t="shared" si="310"/>
        <v>0</v>
      </c>
      <c r="AJ178" s="75">
        <f t="shared" si="311"/>
        <v>34065.050000000003</v>
      </c>
    </row>
    <row r="179" spans="1:36" x14ac:dyDescent="0.25">
      <c r="A179" s="32" t="s">
        <v>128</v>
      </c>
      <c r="B179" s="60">
        <v>174000</v>
      </c>
      <c r="C179" s="63"/>
      <c r="D179" s="63"/>
      <c r="E179" s="63"/>
      <c r="F179" s="75">
        <f t="shared" si="302"/>
        <v>174000</v>
      </c>
      <c r="H179" s="60">
        <v>174000</v>
      </c>
      <c r="I179" s="63"/>
      <c r="J179" s="63"/>
      <c r="K179" s="63"/>
      <c r="L179" s="75">
        <f t="shared" si="303"/>
        <v>174000</v>
      </c>
      <c r="N179" s="60">
        <v>425000</v>
      </c>
      <c r="O179" s="63"/>
      <c r="P179" s="63"/>
      <c r="Q179" s="63"/>
      <c r="R179" s="75">
        <f t="shared" si="304"/>
        <v>425000</v>
      </c>
      <c r="T179" s="60">
        <v>80000</v>
      </c>
      <c r="U179" s="63"/>
      <c r="V179" s="63"/>
      <c r="W179" s="63"/>
      <c r="X179" s="75">
        <f t="shared" si="305"/>
        <v>80000</v>
      </c>
      <c r="Z179" s="60"/>
      <c r="AA179" s="61"/>
      <c r="AB179" s="61"/>
      <c r="AC179" s="61"/>
      <c r="AD179" s="75">
        <f t="shared" si="306"/>
        <v>0</v>
      </c>
      <c r="AF179" s="60">
        <f t="shared" si="307"/>
        <v>853000</v>
      </c>
      <c r="AG179" s="60">
        <f t="shared" si="308"/>
        <v>0</v>
      </c>
      <c r="AH179" s="60">
        <f t="shared" si="309"/>
        <v>0</v>
      </c>
      <c r="AI179" s="60">
        <f t="shared" si="310"/>
        <v>0</v>
      </c>
      <c r="AJ179" s="75">
        <f t="shared" si="311"/>
        <v>853000</v>
      </c>
    </row>
    <row r="180" spans="1:36" x14ac:dyDescent="0.25">
      <c r="A180" s="32" t="s">
        <v>129</v>
      </c>
      <c r="B180" s="60">
        <v>0</v>
      </c>
      <c r="C180" s="63"/>
      <c r="D180" s="61">
        <f>2.5*950*180</f>
        <v>427500</v>
      </c>
      <c r="E180" s="63"/>
      <c r="F180" s="75">
        <f t="shared" si="302"/>
        <v>427500</v>
      </c>
      <c r="H180" s="60">
        <v>0</v>
      </c>
      <c r="I180" s="63"/>
      <c r="J180" s="61">
        <f>875*2.5*180</f>
        <v>393750</v>
      </c>
      <c r="K180" s="63"/>
      <c r="L180" s="75">
        <f t="shared" si="303"/>
        <v>393750</v>
      </c>
      <c r="N180" s="60">
        <v>0</v>
      </c>
      <c r="O180" s="63"/>
      <c r="P180" s="61">
        <f>1100*2.5*180</f>
        <v>495000</v>
      </c>
      <c r="Q180" s="63"/>
      <c r="R180" s="75">
        <f t="shared" si="304"/>
        <v>495000</v>
      </c>
      <c r="T180" s="60">
        <v>0</v>
      </c>
      <c r="U180" s="63"/>
      <c r="V180" s="61">
        <f>2.5*330*180</f>
        <v>148500</v>
      </c>
      <c r="W180" s="63"/>
      <c r="X180" s="75">
        <f t="shared" si="305"/>
        <v>148500</v>
      </c>
      <c r="Z180" s="60"/>
      <c r="AA180" s="61"/>
      <c r="AB180" s="61"/>
      <c r="AC180" s="61"/>
      <c r="AD180" s="75">
        <f t="shared" si="306"/>
        <v>0</v>
      </c>
      <c r="AF180" s="60">
        <f t="shared" si="307"/>
        <v>0</v>
      </c>
      <c r="AG180" s="60">
        <f t="shared" si="308"/>
        <v>0</v>
      </c>
      <c r="AH180" s="60">
        <f t="shared" si="309"/>
        <v>1464750</v>
      </c>
      <c r="AI180" s="60">
        <f t="shared" si="310"/>
        <v>0</v>
      </c>
      <c r="AJ180" s="75">
        <f t="shared" si="311"/>
        <v>1464750</v>
      </c>
    </row>
    <row r="181" spans="1:36" x14ac:dyDescent="0.25">
      <c r="A181" s="32" t="s">
        <v>130</v>
      </c>
      <c r="B181" s="60">
        <v>0</v>
      </c>
      <c r="C181" s="63"/>
      <c r="D181" s="61">
        <f>805*3.91*180</f>
        <v>566559</v>
      </c>
      <c r="E181" s="63"/>
      <c r="F181" s="75">
        <f t="shared" si="302"/>
        <v>566559</v>
      </c>
      <c r="H181" s="60">
        <v>0</v>
      </c>
      <c r="I181" s="63"/>
      <c r="J181" s="61">
        <f>600*3.91*180</f>
        <v>422280</v>
      </c>
      <c r="K181" s="63"/>
      <c r="L181" s="75">
        <f t="shared" si="303"/>
        <v>422280</v>
      </c>
      <c r="N181" s="60">
        <v>0</v>
      </c>
      <c r="O181" s="63"/>
      <c r="P181" s="61">
        <f>1100*3.91*180</f>
        <v>774180</v>
      </c>
      <c r="Q181" s="63"/>
      <c r="R181" s="75">
        <f t="shared" si="304"/>
        <v>774180</v>
      </c>
      <c r="T181" s="60">
        <v>0</v>
      </c>
      <c r="U181" s="63"/>
      <c r="V181" s="61">
        <f>330*3.91*180</f>
        <v>232254</v>
      </c>
      <c r="W181" s="63"/>
      <c r="X181" s="75">
        <f t="shared" si="305"/>
        <v>232254</v>
      </c>
      <c r="Z181" s="60"/>
      <c r="AA181" s="61"/>
      <c r="AB181" s="61"/>
      <c r="AC181" s="61"/>
      <c r="AD181" s="75">
        <f t="shared" si="306"/>
        <v>0</v>
      </c>
      <c r="AF181" s="60">
        <f t="shared" si="307"/>
        <v>0</v>
      </c>
      <c r="AG181" s="60">
        <f t="shared" si="308"/>
        <v>0</v>
      </c>
      <c r="AH181" s="60">
        <f t="shared" si="309"/>
        <v>1995273</v>
      </c>
      <c r="AI181" s="60">
        <f t="shared" si="310"/>
        <v>0</v>
      </c>
      <c r="AJ181" s="75">
        <f t="shared" si="311"/>
        <v>1995273</v>
      </c>
    </row>
    <row r="182" spans="1:36" x14ac:dyDescent="0.25">
      <c r="A182" s="32" t="s">
        <v>131</v>
      </c>
      <c r="B182" s="60">
        <v>5000</v>
      </c>
      <c r="C182" s="63"/>
      <c r="D182" s="63"/>
      <c r="E182" s="63"/>
      <c r="F182" s="75">
        <f t="shared" si="302"/>
        <v>5000</v>
      </c>
      <c r="H182" s="60">
        <v>5000</v>
      </c>
      <c r="I182" s="63"/>
      <c r="J182" s="63"/>
      <c r="K182" s="63"/>
      <c r="L182" s="75">
        <f t="shared" si="303"/>
        <v>5000</v>
      </c>
      <c r="N182" s="60">
        <v>6000</v>
      </c>
      <c r="O182" s="63"/>
      <c r="P182" s="63"/>
      <c r="Q182" s="63"/>
      <c r="R182" s="75">
        <f t="shared" si="304"/>
        <v>6000</v>
      </c>
      <c r="T182" s="60">
        <v>5000</v>
      </c>
      <c r="U182" s="63"/>
      <c r="V182" s="63"/>
      <c r="W182" s="63"/>
      <c r="X182" s="75">
        <f t="shared" si="305"/>
        <v>5000</v>
      </c>
      <c r="Z182" s="60"/>
      <c r="AA182" s="61"/>
      <c r="AB182" s="61"/>
      <c r="AC182" s="61"/>
      <c r="AD182" s="75">
        <f t="shared" si="306"/>
        <v>0</v>
      </c>
      <c r="AF182" s="60">
        <f t="shared" si="307"/>
        <v>21000</v>
      </c>
      <c r="AG182" s="60">
        <f t="shared" si="308"/>
        <v>0</v>
      </c>
      <c r="AH182" s="60">
        <f t="shared" si="309"/>
        <v>0</v>
      </c>
      <c r="AI182" s="60">
        <f t="shared" si="310"/>
        <v>0</v>
      </c>
      <c r="AJ182" s="75">
        <f t="shared" si="311"/>
        <v>21000</v>
      </c>
    </row>
    <row r="183" spans="1:36" x14ac:dyDescent="0.25">
      <c r="A183" s="32" t="s">
        <v>132</v>
      </c>
      <c r="B183" s="60">
        <v>1000</v>
      </c>
      <c r="C183" s="63"/>
      <c r="D183" s="63"/>
      <c r="E183" s="63"/>
      <c r="F183" s="75">
        <f t="shared" si="302"/>
        <v>1000</v>
      </c>
      <c r="H183" s="60">
        <v>1000</v>
      </c>
      <c r="I183" s="63"/>
      <c r="J183" s="63"/>
      <c r="K183" s="63"/>
      <c r="L183" s="75">
        <f t="shared" si="303"/>
        <v>1000</v>
      </c>
      <c r="N183" s="60">
        <v>2000</v>
      </c>
      <c r="O183" s="63"/>
      <c r="P183" s="63"/>
      <c r="Q183" s="63"/>
      <c r="R183" s="75">
        <f t="shared" si="304"/>
        <v>2000</v>
      </c>
      <c r="T183" s="60">
        <v>1000</v>
      </c>
      <c r="U183" s="63"/>
      <c r="V183" s="63"/>
      <c r="W183" s="63"/>
      <c r="X183" s="75">
        <f t="shared" si="305"/>
        <v>1000</v>
      </c>
      <c r="Z183" s="60"/>
      <c r="AA183" s="61"/>
      <c r="AB183" s="61"/>
      <c r="AC183" s="61"/>
      <c r="AD183" s="75">
        <f t="shared" si="306"/>
        <v>0</v>
      </c>
      <c r="AF183" s="60">
        <f t="shared" si="307"/>
        <v>5000</v>
      </c>
      <c r="AG183" s="60">
        <f t="shared" si="308"/>
        <v>0</v>
      </c>
      <c r="AH183" s="60">
        <f t="shared" si="309"/>
        <v>0</v>
      </c>
      <c r="AI183" s="60">
        <f t="shared" si="310"/>
        <v>0</v>
      </c>
      <c r="AJ183" s="75">
        <f t="shared" si="311"/>
        <v>5000</v>
      </c>
    </row>
    <row r="184" spans="1:36" x14ac:dyDescent="0.25">
      <c r="A184" s="32" t="s">
        <v>133</v>
      </c>
      <c r="B184" s="60">
        <v>1000</v>
      </c>
      <c r="C184" s="63"/>
      <c r="D184" s="63"/>
      <c r="E184" s="63"/>
      <c r="F184" s="75">
        <f t="shared" si="302"/>
        <v>1000</v>
      </c>
      <c r="H184" s="60">
        <v>1000</v>
      </c>
      <c r="I184" s="63"/>
      <c r="J184" s="63"/>
      <c r="K184" s="63"/>
      <c r="L184" s="75">
        <f t="shared" si="303"/>
        <v>1000</v>
      </c>
      <c r="N184" s="60">
        <v>2000</v>
      </c>
      <c r="O184" s="63"/>
      <c r="P184" s="63"/>
      <c r="Q184" s="63"/>
      <c r="R184" s="75">
        <f t="shared" si="304"/>
        <v>2000</v>
      </c>
      <c r="T184" s="60">
        <v>1000</v>
      </c>
      <c r="U184" s="63"/>
      <c r="V184" s="63"/>
      <c r="W184" s="63"/>
      <c r="X184" s="75">
        <f t="shared" si="305"/>
        <v>1000</v>
      </c>
      <c r="Z184" s="60"/>
      <c r="AA184" s="61"/>
      <c r="AB184" s="61"/>
      <c r="AC184" s="61"/>
      <c r="AD184" s="75">
        <f t="shared" si="306"/>
        <v>0</v>
      </c>
      <c r="AF184" s="60">
        <f t="shared" si="307"/>
        <v>5000</v>
      </c>
      <c r="AG184" s="60">
        <f t="shared" si="308"/>
        <v>0</v>
      </c>
      <c r="AH184" s="60">
        <f t="shared" si="309"/>
        <v>0</v>
      </c>
      <c r="AI184" s="60">
        <f t="shared" si="310"/>
        <v>0</v>
      </c>
      <c r="AJ184" s="75">
        <f t="shared" si="311"/>
        <v>5000</v>
      </c>
    </row>
    <row r="185" spans="1:36" x14ac:dyDescent="0.25">
      <c r="A185" s="32" t="s">
        <v>134</v>
      </c>
      <c r="B185" s="63">
        <f>(7*1050)+1200+3000+4500</f>
        <v>16050</v>
      </c>
      <c r="C185" s="63"/>
      <c r="D185" s="63"/>
      <c r="E185" s="63"/>
      <c r="F185" s="75">
        <f t="shared" si="302"/>
        <v>16050</v>
      </c>
      <c r="H185" s="63">
        <f>(7*1050)+1200+3000+5500</f>
        <v>17050</v>
      </c>
      <c r="I185" s="63"/>
      <c r="J185" s="63"/>
      <c r="K185" s="63"/>
      <c r="L185" s="75">
        <f t="shared" si="303"/>
        <v>17050</v>
      </c>
      <c r="N185" s="63">
        <f>(7*2500)+1200+3000+5500+8000</f>
        <v>35200</v>
      </c>
      <c r="O185" s="63"/>
      <c r="P185" s="63"/>
      <c r="Q185" s="63"/>
      <c r="R185" s="75">
        <f t="shared" si="304"/>
        <v>35200</v>
      </c>
      <c r="T185" s="63">
        <f>(7*1050)+1200+3500</f>
        <v>12050</v>
      </c>
      <c r="U185" s="63"/>
      <c r="V185" s="63"/>
      <c r="W185" s="63"/>
      <c r="X185" s="75">
        <f t="shared" si="305"/>
        <v>12050</v>
      </c>
      <c r="Z185" s="61"/>
      <c r="AA185" s="61"/>
      <c r="AB185" s="61"/>
      <c r="AC185" s="61"/>
      <c r="AD185" s="75">
        <f t="shared" si="306"/>
        <v>0</v>
      </c>
      <c r="AF185" s="60">
        <f t="shared" si="307"/>
        <v>80350</v>
      </c>
      <c r="AG185" s="60">
        <f t="shared" si="308"/>
        <v>0</v>
      </c>
      <c r="AH185" s="60">
        <f t="shared" si="309"/>
        <v>0</v>
      </c>
      <c r="AI185" s="60">
        <f t="shared" si="310"/>
        <v>0</v>
      </c>
      <c r="AJ185" s="75">
        <f t="shared" si="311"/>
        <v>80350</v>
      </c>
    </row>
    <row r="186" spans="1:36" x14ac:dyDescent="0.25">
      <c r="A186" s="32" t="s">
        <v>135</v>
      </c>
      <c r="B186" s="63"/>
      <c r="C186" s="63"/>
      <c r="D186" s="63"/>
      <c r="E186" s="63"/>
      <c r="F186" s="75">
        <f t="shared" si="302"/>
        <v>0</v>
      </c>
      <c r="H186" s="63"/>
      <c r="I186" s="63"/>
      <c r="J186" s="63"/>
      <c r="K186" s="63"/>
      <c r="L186" s="75">
        <f t="shared" si="303"/>
        <v>0</v>
      </c>
      <c r="N186" s="63">
        <v>65000</v>
      </c>
      <c r="O186" s="63"/>
      <c r="P186" s="63"/>
      <c r="Q186" s="63"/>
      <c r="R186" s="75">
        <f t="shared" si="304"/>
        <v>65000</v>
      </c>
      <c r="T186" s="63"/>
      <c r="U186" s="63"/>
      <c r="V186" s="63"/>
      <c r="W186" s="63"/>
      <c r="X186" s="75">
        <f t="shared" si="305"/>
        <v>0</v>
      </c>
      <c r="Z186" s="61"/>
      <c r="AA186" s="61"/>
      <c r="AB186" s="61"/>
      <c r="AC186" s="61"/>
      <c r="AD186" s="75">
        <f t="shared" si="306"/>
        <v>0</v>
      </c>
      <c r="AF186" s="60">
        <f t="shared" si="307"/>
        <v>65000</v>
      </c>
      <c r="AG186" s="60">
        <f t="shared" si="308"/>
        <v>0</v>
      </c>
      <c r="AH186" s="60">
        <f t="shared" si="309"/>
        <v>0</v>
      </c>
      <c r="AI186" s="60">
        <f t="shared" si="310"/>
        <v>0</v>
      </c>
      <c r="AJ186" s="75">
        <f t="shared" si="311"/>
        <v>65000</v>
      </c>
    </row>
    <row r="187" spans="1:36" x14ac:dyDescent="0.25">
      <c r="A187" s="32" t="s">
        <v>136</v>
      </c>
      <c r="B187" s="63"/>
      <c r="C187" s="63"/>
      <c r="D187" s="63"/>
      <c r="E187" s="63"/>
      <c r="F187" s="75">
        <f t="shared" si="302"/>
        <v>0</v>
      </c>
      <c r="H187" s="63"/>
      <c r="I187" s="63"/>
      <c r="J187" s="63"/>
      <c r="K187" s="63"/>
      <c r="L187" s="75">
        <f t="shared" si="303"/>
        <v>0</v>
      </c>
      <c r="N187" s="63"/>
      <c r="O187" s="63"/>
      <c r="P187" s="63"/>
      <c r="Q187" s="63"/>
      <c r="R187" s="75">
        <f t="shared" si="304"/>
        <v>0</v>
      </c>
      <c r="T187" s="63"/>
      <c r="U187" s="63"/>
      <c r="V187" s="63"/>
      <c r="W187" s="63"/>
      <c r="X187" s="75">
        <f t="shared" si="305"/>
        <v>0</v>
      </c>
      <c r="Z187" s="61"/>
      <c r="AA187" s="61"/>
      <c r="AB187" s="61"/>
      <c r="AC187" s="61"/>
      <c r="AD187" s="75">
        <f t="shared" si="306"/>
        <v>0</v>
      </c>
      <c r="AF187" s="60">
        <f t="shared" si="307"/>
        <v>0</v>
      </c>
      <c r="AG187" s="60">
        <f t="shared" si="308"/>
        <v>0</v>
      </c>
      <c r="AH187" s="60">
        <f t="shared" si="309"/>
        <v>0</v>
      </c>
      <c r="AI187" s="60">
        <f t="shared" si="310"/>
        <v>0</v>
      </c>
      <c r="AJ187" s="75">
        <f t="shared" si="311"/>
        <v>0</v>
      </c>
    </row>
    <row r="188" spans="1:36" x14ac:dyDescent="0.25">
      <c r="A188" s="32" t="s">
        <v>137</v>
      </c>
      <c r="B188" s="63">
        <v>0</v>
      </c>
      <c r="C188" s="63"/>
      <c r="D188" s="63"/>
      <c r="E188" s="63"/>
      <c r="F188" s="75">
        <f t="shared" si="302"/>
        <v>0</v>
      </c>
      <c r="H188" s="63">
        <v>0</v>
      </c>
      <c r="I188" s="63"/>
      <c r="J188" s="63"/>
      <c r="K188" s="63"/>
      <c r="L188" s="75">
        <f t="shared" si="303"/>
        <v>0</v>
      </c>
      <c r="N188" s="63">
        <f>86100</f>
        <v>86100</v>
      </c>
      <c r="O188" s="63"/>
      <c r="P188" s="63"/>
      <c r="Q188" s="63"/>
      <c r="R188" s="75">
        <f t="shared" si="304"/>
        <v>86100</v>
      </c>
      <c r="T188" s="63">
        <v>0</v>
      </c>
      <c r="U188" s="63"/>
      <c r="V188" s="63"/>
      <c r="W188" s="63"/>
      <c r="X188" s="75">
        <f t="shared" si="305"/>
        <v>0</v>
      </c>
      <c r="Z188" s="61"/>
      <c r="AA188" s="61"/>
      <c r="AB188" s="61"/>
      <c r="AC188" s="61"/>
      <c r="AD188" s="75">
        <f t="shared" si="306"/>
        <v>0</v>
      </c>
      <c r="AF188" s="60">
        <f t="shared" si="307"/>
        <v>86100</v>
      </c>
      <c r="AG188" s="60">
        <f t="shared" si="308"/>
        <v>0</v>
      </c>
      <c r="AH188" s="60">
        <f t="shared" si="309"/>
        <v>0</v>
      </c>
      <c r="AI188" s="60">
        <f t="shared" si="310"/>
        <v>0</v>
      </c>
      <c r="AJ188" s="75">
        <f t="shared" si="311"/>
        <v>86100</v>
      </c>
    </row>
    <row r="189" spans="1:36" x14ac:dyDescent="0.25">
      <c r="A189" s="32" t="s">
        <v>138</v>
      </c>
      <c r="B189" s="63"/>
      <c r="C189" s="63"/>
      <c r="D189" s="63"/>
      <c r="E189" s="63"/>
      <c r="F189" s="75">
        <f t="shared" si="302"/>
        <v>0</v>
      </c>
      <c r="H189" s="63"/>
      <c r="I189" s="63"/>
      <c r="J189" s="63"/>
      <c r="K189" s="63"/>
      <c r="L189" s="75">
        <f t="shared" si="303"/>
        <v>0</v>
      </c>
      <c r="N189" s="63"/>
      <c r="O189" s="63"/>
      <c r="P189" s="63"/>
      <c r="Q189" s="63"/>
      <c r="R189" s="75">
        <f t="shared" si="304"/>
        <v>0</v>
      </c>
      <c r="T189" s="63"/>
      <c r="U189" s="63"/>
      <c r="V189" s="63"/>
      <c r="W189" s="63"/>
      <c r="X189" s="75">
        <f t="shared" si="305"/>
        <v>0</v>
      </c>
      <c r="Z189" s="61"/>
      <c r="AA189" s="61"/>
      <c r="AB189" s="61"/>
      <c r="AC189" s="61"/>
      <c r="AD189" s="75">
        <f t="shared" si="306"/>
        <v>0</v>
      </c>
      <c r="AF189" s="60">
        <f t="shared" si="307"/>
        <v>0</v>
      </c>
      <c r="AG189" s="60">
        <f t="shared" si="308"/>
        <v>0</v>
      </c>
      <c r="AH189" s="60">
        <f t="shared" si="309"/>
        <v>0</v>
      </c>
      <c r="AI189" s="60">
        <f t="shared" si="310"/>
        <v>0</v>
      </c>
      <c r="AJ189" s="75">
        <f t="shared" si="311"/>
        <v>0</v>
      </c>
    </row>
    <row r="190" spans="1:36" x14ac:dyDescent="0.25">
      <c r="A190" s="32" t="s">
        <v>139</v>
      </c>
      <c r="B190" s="63"/>
      <c r="C190" s="63"/>
      <c r="D190" s="63"/>
      <c r="E190" s="63"/>
      <c r="F190" s="75">
        <f t="shared" si="302"/>
        <v>0</v>
      </c>
      <c r="H190" s="63"/>
      <c r="I190" s="63"/>
      <c r="J190" s="63"/>
      <c r="K190" s="63"/>
      <c r="L190" s="75">
        <f t="shared" si="303"/>
        <v>0</v>
      </c>
      <c r="N190" s="63"/>
      <c r="O190" s="63"/>
      <c r="P190" s="63"/>
      <c r="Q190" s="63"/>
      <c r="R190" s="75">
        <f t="shared" si="304"/>
        <v>0</v>
      </c>
      <c r="T190" s="63"/>
      <c r="U190" s="63"/>
      <c r="V190" s="63"/>
      <c r="W190" s="63"/>
      <c r="X190" s="75">
        <f t="shared" si="305"/>
        <v>0</v>
      </c>
      <c r="Z190" s="61"/>
      <c r="AA190" s="61"/>
      <c r="AB190" s="61"/>
      <c r="AC190" s="61"/>
      <c r="AD190" s="75">
        <f t="shared" si="306"/>
        <v>0</v>
      </c>
      <c r="AF190" s="60">
        <f t="shared" si="307"/>
        <v>0</v>
      </c>
      <c r="AG190" s="60">
        <f t="shared" si="308"/>
        <v>0</v>
      </c>
      <c r="AH190" s="60">
        <f t="shared" si="309"/>
        <v>0</v>
      </c>
      <c r="AI190" s="60">
        <f t="shared" si="310"/>
        <v>0</v>
      </c>
      <c r="AJ190" s="75">
        <f t="shared" si="311"/>
        <v>0</v>
      </c>
    </row>
    <row r="191" spans="1:36" x14ac:dyDescent="0.25">
      <c r="A191" s="32" t="s">
        <v>140</v>
      </c>
      <c r="B191" s="63"/>
      <c r="C191" s="63"/>
      <c r="D191" s="63"/>
      <c r="E191" s="63"/>
      <c r="F191" s="75">
        <f t="shared" si="302"/>
        <v>0</v>
      </c>
      <c r="H191" s="63"/>
      <c r="I191" s="63"/>
      <c r="J191" s="63"/>
      <c r="K191" s="63"/>
      <c r="L191" s="75">
        <f t="shared" si="303"/>
        <v>0</v>
      </c>
      <c r="N191" s="63"/>
      <c r="O191" s="63"/>
      <c r="P191" s="63"/>
      <c r="Q191" s="63"/>
      <c r="R191" s="75">
        <f t="shared" si="304"/>
        <v>0</v>
      </c>
      <c r="T191" s="63"/>
      <c r="U191" s="63"/>
      <c r="V191" s="63"/>
      <c r="W191" s="63"/>
      <c r="X191" s="75">
        <f t="shared" si="305"/>
        <v>0</v>
      </c>
      <c r="Z191" s="61"/>
      <c r="AA191" s="61"/>
      <c r="AB191" s="61"/>
      <c r="AC191" s="61"/>
      <c r="AD191" s="75">
        <f t="shared" si="306"/>
        <v>0</v>
      </c>
      <c r="AF191" s="60">
        <f t="shared" si="307"/>
        <v>0</v>
      </c>
      <c r="AG191" s="60">
        <f t="shared" si="308"/>
        <v>0</v>
      </c>
      <c r="AH191" s="60">
        <f t="shared" si="309"/>
        <v>0</v>
      </c>
      <c r="AI191" s="60">
        <f t="shared" si="310"/>
        <v>0</v>
      </c>
      <c r="AJ191" s="75">
        <f t="shared" si="311"/>
        <v>0</v>
      </c>
    </row>
    <row r="192" spans="1:36" x14ac:dyDescent="0.25">
      <c r="A192" s="32" t="s">
        <v>141</v>
      </c>
      <c r="B192" s="63">
        <v>7500</v>
      </c>
      <c r="C192" s="63"/>
      <c r="D192" s="63"/>
      <c r="E192" s="63"/>
      <c r="F192" s="75">
        <f t="shared" si="302"/>
        <v>7500</v>
      </c>
      <c r="H192" s="63">
        <v>750</v>
      </c>
      <c r="I192" s="63"/>
      <c r="J192" s="63"/>
      <c r="K192" s="63"/>
      <c r="L192" s="75">
        <f t="shared" si="303"/>
        <v>750</v>
      </c>
      <c r="N192" s="89">
        <f>17500+862572</f>
        <v>880072</v>
      </c>
      <c r="O192" s="63"/>
      <c r="P192" s="63"/>
      <c r="Q192" s="63"/>
      <c r="R192" s="75">
        <f t="shared" si="304"/>
        <v>880072</v>
      </c>
      <c r="T192" s="63">
        <v>5500</v>
      </c>
      <c r="U192" s="63"/>
      <c r="V192" s="63"/>
      <c r="W192" s="63"/>
      <c r="X192" s="75">
        <f t="shared" si="305"/>
        <v>5500</v>
      </c>
      <c r="Z192" s="61">
        <v>2500</v>
      </c>
      <c r="AA192" s="61"/>
      <c r="AB192" s="61"/>
      <c r="AC192" s="61">
        <v>10000</v>
      </c>
      <c r="AD192" s="75">
        <f t="shared" si="306"/>
        <v>12500</v>
      </c>
      <c r="AF192" s="60">
        <f t="shared" si="307"/>
        <v>896322</v>
      </c>
      <c r="AG192" s="60">
        <f t="shared" si="308"/>
        <v>0</v>
      </c>
      <c r="AH192" s="60">
        <f t="shared" si="309"/>
        <v>0</v>
      </c>
      <c r="AI192" s="60">
        <f t="shared" si="310"/>
        <v>10000</v>
      </c>
      <c r="AJ192" s="75">
        <f t="shared" si="311"/>
        <v>906322</v>
      </c>
    </row>
    <row r="193" spans="1:37" x14ac:dyDescent="0.25">
      <c r="A193" s="33" t="s">
        <v>142</v>
      </c>
      <c r="B193" s="64">
        <f>B68*0.02</f>
        <v>193592.95999999999</v>
      </c>
      <c r="C193" s="64"/>
      <c r="D193" s="64"/>
      <c r="E193" s="64"/>
      <c r="F193" s="75">
        <f t="shared" si="302"/>
        <v>193592.95999999999</v>
      </c>
      <c r="H193" s="64">
        <f>H68*0.02</f>
        <v>193592.95999999999</v>
      </c>
      <c r="I193" s="64"/>
      <c r="J193" s="64"/>
      <c r="K193" s="64"/>
      <c r="L193" s="75">
        <f t="shared" si="303"/>
        <v>193592.95999999999</v>
      </c>
      <c r="N193" s="64">
        <f>N68*0.02</f>
        <v>460065.76</v>
      </c>
      <c r="O193" s="64"/>
      <c r="P193" s="64"/>
      <c r="Q193" s="64"/>
      <c r="R193" s="75">
        <f t="shared" si="304"/>
        <v>460065.76</v>
      </c>
      <c r="T193" s="64"/>
      <c r="U193" s="64"/>
      <c r="V193" s="64"/>
      <c r="W193" s="64"/>
      <c r="X193" s="75">
        <f t="shared" si="305"/>
        <v>0</v>
      </c>
      <c r="Z193" s="91"/>
      <c r="AA193" s="91"/>
      <c r="AB193" s="91"/>
      <c r="AC193" s="91"/>
      <c r="AD193" s="75">
        <f t="shared" si="306"/>
        <v>0</v>
      </c>
      <c r="AF193" s="60">
        <f t="shared" si="307"/>
        <v>847251.67999999993</v>
      </c>
      <c r="AG193" s="60">
        <f t="shared" si="308"/>
        <v>0</v>
      </c>
      <c r="AH193" s="60">
        <f t="shared" si="309"/>
        <v>0</v>
      </c>
      <c r="AI193" s="60">
        <f t="shared" si="310"/>
        <v>0</v>
      </c>
      <c r="AJ193" s="75">
        <f t="shared" si="311"/>
        <v>847251.67999999993</v>
      </c>
      <c r="AK193" s="94">
        <f>AJ193/AF68</f>
        <v>1.8093706012467323E-2</v>
      </c>
    </row>
    <row r="194" spans="1:37" x14ac:dyDescent="0.25">
      <c r="A194" s="34"/>
      <c r="B194" s="76">
        <f>SUM(B174:B193)</f>
        <v>464284.76</v>
      </c>
      <c r="C194" s="76">
        <f t="shared" ref="C194:E194" si="312">SUM(C174:C193)</f>
        <v>0</v>
      </c>
      <c r="D194" s="76">
        <f t="shared" si="312"/>
        <v>994059</v>
      </c>
      <c r="E194" s="76">
        <f t="shared" si="312"/>
        <v>0</v>
      </c>
      <c r="F194" s="76">
        <f t="shared" ref="F194" si="313">SUM(F174:F193)</f>
        <v>1458343.76</v>
      </c>
      <c r="H194" s="76">
        <f>SUM(H174:H193)</f>
        <v>458534.76</v>
      </c>
      <c r="I194" s="76">
        <f t="shared" ref="I194:K194" si="314">SUM(I174:I193)</f>
        <v>0</v>
      </c>
      <c r="J194" s="76">
        <f t="shared" si="314"/>
        <v>816030</v>
      </c>
      <c r="K194" s="76">
        <f t="shared" si="314"/>
        <v>0</v>
      </c>
      <c r="L194" s="76">
        <f t="shared" ref="L194" si="315">SUM(L174:L193)</f>
        <v>1274564.76</v>
      </c>
      <c r="N194" s="76">
        <f>SUM(N174:N193)</f>
        <v>2113672.31</v>
      </c>
      <c r="O194" s="76">
        <f t="shared" ref="O194:Q194" si="316">SUM(O174:O193)</f>
        <v>0</v>
      </c>
      <c r="P194" s="76">
        <f t="shared" si="316"/>
        <v>1269180</v>
      </c>
      <c r="Q194" s="76">
        <f t="shared" si="316"/>
        <v>0</v>
      </c>
      <c r="R194" s="76">
        <f t="shared" ref="R194" si="317">SUM(R174:R193)</f>
        <v>3382852.3099999996</v>
      </c>
      <c r="T194" s="76">
        <f>SUM(T174:T193)</f>
        <v>145736.9</v>
      </c>
      <c r="U194" s="76">
        <f t="shared" ref="U194:W194" si="318">SUM(U174:U193)</f>
        <v>0</v>
      </c>
      <c r="V194" s="76">
        <f t="shared" si="318"/>
        <v>380754</v>
      </c>
      <c r="W194" s="76">
        <f t="shared" si="318"/>
        <v>0</v>
      </c>
      <c r="X194" s="76">
        <f t="shared" ref="X194" si="319">SUM(X174:X193)</f>
        <v>526490.9</v>
      </c>
      <c r="Z194" s="76">
        <f>SUM(Z174:Z193)</f>
        <v>2500</v>
      </c>
      <c r="AA194" s="76">
        <f t="shared" ref="AA194:AC194" si="320">SUM(AA174:AA193)</f>
        <v>0</v>
      </c>
      <c r="AB194" s="76">
        <f t="shared" si="320"/>
        <v>0</v>
      </c>
      <c r="AC194" s="76">
        <f t="shared" si="320"/>
        <v>10000</v>
      </c>
      <c r="AD194" s="76">
        <f t="shared" ref="AD194" si="321">SUM(AD174:AD193)</f>
        <v>12500</v>
      </c>
      <c r="AF194" s="76">
        <f>SUM(AF174:AF193)</f>
        <v>3184728.7299999995</v>
      </c>
      <c r="AG194" s="76">
        <f t="shared" ref="AG194:AI194" si="322">SUM(AG174:AG193)</f>
        <v>0</v>
      </c>
      <c r="AH194" s="76">
        <f t="shared" si="322"/>
        <v>3460023</v>
      </c>
      <c r="AI194" s="76">
        <f t="shared" si="322"/>
        <v>10000</v>
      </c>
      <c r="AJ194" s="76">
        <f t="shared" ref="AJ194" si="323">SUM(AJ174:AJ193)</f>
        <v>6654751.7299999995</v>
      </c>
    </row>
    <row r="195" spans="1:37" x14ac:dyDescent="0.25">
      <c r="B195" s="77"/>
      <c r="C195" s="77"/>
      <c r="D195" s="77"/>
      <c r="E195" s="77"/>
      <c r="F195" s="77"/>
      <c r="H195" s="77"/>
      <c r="I195" s="77"/>
      <c r="J195" s="77"/>
      <c r="K195" s="77"/>
      <c r="L195" s="77"/>
      <c r="N195" s="77"/>
      <c r="O195" s="77"/>
      <c r="P195" s="77"/>
      <c r="Q195" s="77"/>
      <c r="R195" s="77"/>
      <c r="T195" s="77"/>
      <c r="U195" s="77"/>
      <c r="V195" s="77"/>
      <c r="W195" s="77"/>
      <c r="X195" s="77"/>
      <c r="Z195" s="77"/>
      <c r="AA195" s="77"/>
      <c r="AB195" s="77"/>
      <c r="AC195" s="77"/>
      <c r="AD195" s="77"/>
      <c r="AF195" s="77"/>
      <c r="AG195" s="77"/>
      <c r="AH195" s="77"/>
      <c r="AI195" s="77"/>
      <c r="AJ195" s="77"/>
    </row>
    <row r="196" spans="1:37" x14ac:dyDescent="0.25">
      <c r="A196" s="28"/>
      <c r="B196" s="78" t="s">
        <v>157</v>
      </c>
      <c r="C196" s="78" t="s">
        <v>158</v>
      </c>
      <c r="D196" s="78" t="s">
        <v>159</v>
      </c>
      <c r="E196" s="78" t="str">
        <f>E173</f>
        <v>Other</v>
      </c>
      <c r="F196" s="78" t="str">
        <f>F173</f>
        <v>FY26- Mtn</v>
      </c>
      <c r="H196" s="78" t="s">
        <v>157</v>
      </c>
      <c r="I196" s="78" t="s">
        <v>158</v>
      </c>
      <c r="J196" s="78" t="s">
        <v>159</v>
      </c>
      <c r="K196" s="78" t="str">
        <f>K173</f>
        <v>Other</v>
      </c>
      <c r="L196" s="78" t="str">
        <f>L173</f>
        <v>FY26- Bon</v>
      </c>
      <c r="N196" s="78" t="s">
        <v>157</v>
      </c>
      <c r="O196" s="78" t="s">
        <v>158</v>
      </c>
      <c r="P196" s="78" t="s">
        <v>159</v>
      </c>
      <c r="Q196" s="78" t="str">
        <f>Q173</f>
        <v>Other</v>
      </c>
      <c r="R196" s="78" t="str">
        <f>R173</f>
        <v>FY26- East</v>
      </c>
      <c r="T196" s="78" t="s">
        <v>157</v>
      </c>
      <c r="U196" s="78" t="s">
        <v>158</v>
      </c>
      <c r="V196" s="78" t="s">
        <v>159</v>
      </c>
      <c r="W196" s="78" t="str">
        <f>W173</f>
        <v>Other</v>
      </c>
      <c r="X196" s="78" t="str">
        <f>X173</f>
        <v>FY26- Cactus</v>
      </c>
      <c r="Z196" s="78" t="s">
        <v>157</v>
      </c>
      <c r="AA196" s="78" t="s">
        <v>158</v>
      </c>
      <c r="AB196" s="78" t="s">
        <v>159</v>
      </c>
      <c r="AC196" s="78" t="str">
        <f>AC173</f>
        <v>Grant</v>
      </c>
      <c r="AD196" s="78" t="str">
        <f>AD173</f>
        <v>FY26 - Central</v>
      </c>
      <c r="AF196" s="78" t="s">
        <v>157</v>
      </c>
      <c r="AG196" s="78" t="s">
        <v>158</v>
      </c>
      <c r="AH196" s="78" t="s">
        <v>159</v>
      </c>
      <c r="AI196" s="78" t="str">
        <f>AI173</f>
        <v>Grant</v>
      </c>
      <c r="AJ196" s="78" t="str">
        <f>AJ173</f>
        <v>FY26- Sys</v>
      </c>
    </row>
    <row r="197" spans="1:37" x14ac:dyDescent="0.25">
      <c r="A197" s="35" t="s">
        <v>143</v>
      </c>
      <c r="B197" s="60">
        <v>95000</v>
      </c>
      <c r="C197" s="75"/>
      <c r="D197" s="75"/>
      <c r="E197" s="75"/>
      <c r="F197" s="75">
        <f>SUM(B197:E197)</f>
        <v>95000</v>
      </c>
      <c r="H197" s="60">
        <v>95000</v>
      </c>
      <c r="I197" s="75"/>
      <c r="J197" s="75"/>
      <c r="K197" s="75"/>
      <c r="L197" s="75">
        <f>SUM(H197:K197)</f>
        <v>95000</v>
      </c>
      <c r="N197" s="60">
        <v>285000</v>
      </c>
      <c r="O197" s="75"/>
      <c r="P197" s="75"/>
      <c r="Q197" s="75"/>
      <c r="R197" s="75">
        <f>SUM(N197:Q197)</f>
        <v>285000</v>
      </c>
      <c r="T197" s="60">
        <v>65000</v>
      </c>
      <c r="U197" s="75"/>
      <c r="V197" s="75"/>
      <c r="W197" s="75"/>
      <c r="X197" s="75">
        <f>SUM(T197:W197)</f>
        <v>65000</v>
      </c>
      <c r="Z197" s="60"/>
      <c r="AA197" s="75"/>
      <c r="AB197" s="75"/>
      <c r="AC197" s="75"/>
      <c r="AD197" s="75">
        <f>SUM(Z197:AC197)</f>
        <v>0</v>
      </c>
      <c r="AF197" s="60">
        <f>B197+H197+N197+T197+Z197</f>
        <v>540000</v>
      </c>
      <c r="AG197" s="60">
        <f t="shared" ref="AG197:AI197" si="324">C197+I197+O197+U197+AA197</f>
        <v>0</v>
      </c>
      <c r="AH197" s="60">
        <f t="shared" si="324"/>
        <v>0</v>
      </c>
      <c r="AI197" s="60">
        <f t="shared" si="324"/>
        <v>0</v>
      </c>
      <c r="AJ197" s="75">
        <f>SUM(AF197:AI197)</f>
        <v>540000</v>
      </c>
    </row>
    <row r="198" spans="1:37" x14ac:dyDescent="0.25">
      <c r="A198" s="32" t="s">
        <v>144</v>
      </c>
      <c r="B198" s="60">
        <v>0</v>
      </c>
      <c r="C198" s="63"/>
      <c r="D198" s="63"/>
      <c r="E198" s="63"/>
      <c r="F198" s="75">
        <f t="shared" ref="F198:F206" si="325">SUM(B198:E198)</f>
        <v>0</v>
      </c>
      <c r="H198" s="60">
        <v>0</v>
      </c>
      <c r="I198" s="63"/>
      <c r="J198" s="63"/>
      <c r="K198" s="63"/>
      <c r="L198" s="75">
        <f t="shared" ref="L198:L206" si="326">SUM(H198:K198)</f>
        <v>0</v>
      </c>
      <c r="N198" s="60">
        <v>16000</v>
      </c>
      <c r="O198" s="63"/>
      <c r="P198" s="63"/>
      <c r="Q198" s="63"/>
      <c r="R198" s="75">
        <f t="shared" ref="R198:R206" si="327">SUM(N198:Q198)</f>
        <v>16000</v>
      </c>
      <c r="T198" s="60"/>
      <c r="U198" s="63"/>
      <c r="V198" s="63"/>
      <c r="W198" s="63"/>
      <c r="X198" s="75">
        <f t="shared" ref="X198:X206" si="328">SUM(T198:W198)</f>
        <v>0</v>
      </c>
      <c r="Z198" s="60"/>
      <c r="AA198" s="63"/>
      <c r="AB198" s="63"/>
      <c r="AC198" s="63"/>
      <c r="AD198" s="75">
        <f t="shared" ref="AD198:AD206" si="329">SUM(Z198:AC198)</f>
        <v>0</v>
      </c>
      <c r="AF198" s="60">
        <f t="shared" ref="AF198:AF206" si="330">B198+H198+N198+T198+Z198</f>
        <v>16000</v>
      </c>
      <c r="AG198" s="60">
        <f t="shared" ref="AG198:AG206" si="331">C198+I198+O198+U198+AA198</f>
        <v>0</v>
      </c>
      <c r="AH198" s="60">
        <f t="shared" ref="AH198:AH206" si="332">D198+J198+P198+V198+AB198</f>
        <v>0</v>
      </c>
      <c r="AI198" s="60">
        <f t="shared" ref="AI198:AI206" si="333">E198+K198+Q198+W198+AC198</f>
        <v>0</v>
      </c>
      <c r="AJ198" s="75">
        <f t="shared" ref="AJ198:AJ206" si="334">SUM(AF198:AI198)</f>
        <v>16000</v>
      </c>
    </row>
    <row r="199" spans="1:37" x14ac:dyDescent="0.25">
      <c r="A199" s="32" t="s">
        <v>145</v>
      </c>
      <c r="B199" s="60">
        <v>57500</v>
      </c>
      <c r="C199" s="63"/>
      <c r="D199" s="63"/>
      <c r="E199" s="63"/>
      <c r="F199" s="75">
        <f t="shared" si="325"/>
        <v>57500</v>
      </c>
      <c r="H199" s="60">
        <v>57000</v>
      </c>
      <c r="I199" s="63"/>
      <c r="J199" s="63"/>
      <c r="K199" s="63"/>
      <c r="L199" s="75">
        <f t="shared" si="326"/>
        <v>57000</v>
      </c>
      <c r="N199" s="60">
        <v>130000</v>
      </c>
      <c r="O199" s="63"/>
      <c r="P199" s="63"/>
      <c r="Q199" s="63"/>
      <c r="R199" s="75">
        <f t="shared" si="327"/>
        <v>130000</v>
      </c>
      <c r="T199" s="60">
        <v>16000</v>
      </c>
      <c r="U199" s="63"/>
      <c r="V199" s="63"/>
      <c r="W199" s="63"/>
      <c r="X199" s="75">
        <f t="shared" si="328"/>
        <v>16000</v>
      </c>
      <c r="Z199" s="60"/>
      <c r="AA199" s="63"/>
      <c r="AB199" s="63"/>
      <c r="AC199" s="63"/>
      <c r="AD199" s="75">
        <f t="shared" si="329"/>
        <v>0</v>
      </c>
      <c r="AF199" s="60">
        <f t="shared" si="330"/>
        <v>260500</v>
      </c>
      <c r="AG199" s="60">
        <f t="shared" si="331"/>
        <v>0</v>
      </c>
      <c r="AH199" s="60">
        <f t="shared" si="332"/>
        <v>0</v>
      </c>
      <c r="AI199" s="60">
        <f t="shared" si="333"/>
        <v>0</v>
      </c>
      <c r="AJ199" s="75">
        <f t="shared" si="334"/>
        <v>260500</v>
      </c>
    </row>
    <row r="200" spans="1:37" x14ac:dyDescent="0.25">
      <c r="A200" s="32" t="s">
        <v>146</v>
      </c>
      <c r="B200" s="60">
        <v>37000</v>
      </c>
      <c r="C200" s="63"/>
      <c r="D200" s="63"/>
      <c r="E200" s="63"/>
      <c r="F200" s="75">
        <f t="shared" si="325"/>
        <v>37000</v>
      </c>
      <c r="H200" s="60">
        <v>45000</v>
      </c>
      <c r="I200" s="63"/>
      <c r="J200" s="63"/>
      <c r="K200" s="63"/>
      <c r="L200" s="75">
        <f t="shared" si="326"/>
        <v>45000</v>
      </c>
      <c r="N200" s="60">
        <v>70000</v>
      </c>
      <c r="O200" s="63"/>
      <c r="P200" s="63"/>
      <c r="Q200" s="63"/>
      <c r="R200" s="75">
        <f t="shared" si="327"/>
        <v>70000</v>
      </c>
      <c r="T200" s="60">
        <v>25000</v>
      </c>
      <c r="U200" s="63"/>
      <c r="V200" s="63"/>
      <c r="W200" s="63"/>
      <c r="X200" s="75">
        <f t="shared" si="328"/>
        <v>25000</v>
      </c>
      <c r="Z200" s="60"/>
      <c r="AA200" s="63"/>
      <c r="AB200" s="63"/>
      <c r="AC200" s="63"/>
      <c r="AD200" s="75">
        <f t="shared" si="329"/>
        <v>0</v>
      </c>
      <c r="AF200" s="60">
        <f t="shared" si="330"/>
        <v>177000</v>
      </c>
      <c r="AG200" s="60">
        <f t="shared" si="331"/>
        <v>0</v>
      </c>
      <c r="AH200" s="60">
        <f t="shared" si="332"/>
        <v>0</v>
      </c>
      <c r="AI200" s="60">
        <f t="shared" si="333"/>
        <v>0</v>
      </c>
      <c r="AJ200" s="75">
        <f t="shared" si="334"/>
        <v>177000</v>
      </c>
    </row>
    <row r="201" spans="1:37" x14ac:dyDescent="0.25">
      <c r="A201" s="32" t="s">
        <v>147</v>
      </c>
      <c r="B201" s="60">
        <v>12500</v>
      </c>
      <c r="C201" s="63"/>
      <c r="D201" s="63"/>
      <c r="E201" s="63"/>
      <c r="F201" s="75">
        <f t="shared" si="325"/>
        <v>12500</v>
      </c>
      <c r="H201" s="60">
        <v>7500</v>
      </c>
      <c r="I201" s="63"/>
      <c r="J201" s="63"/>
      <c r="K201" s="63"/>
      <c r="L201" s="75">
        <f t="shared" si="326"/>
        <v>7500</v>
      </c>
      <c r="N201" s="60">
        <v>21000</v>
      </c>
      <c r="O201" s="63"/>
      <c r="P201" s="63"/>
      <c r="Q201" s="63"/>
      <c r="R201" s="75">
        <f t="shared" si="327"/>
        <v>21000</v>
      </c>
      <c r="T201" s="60">
        <v>5500</v>
      </c>
      <c r="U201" s="63"/>
      <c r="V201" s="63"/>
      <c r="W201" s="63"/>
      <c r="X201" s="75">
        <f t="shared" si="328"/>
        <v>5500</v>
      </c>
      <c r="Z201" s="60"/>
      <c r="AA201" s="63"/>
      <c r="AB201" s="63"/>
      <c r="AC201" s="63"/>
      <c r="AD201" s="75">
        <f t="shared" si="329"/>
        <v>0</v>
      </c>
      <c r="AF201" s="60">
        <f t="shared" si="330"/>
        <v>46500</v>
      </c>
      <c r="AG201" s="60">
        <f t="shared" si="331"/>
        <v>0</v>
      </c>
      <c r="AH201" s="60">
        <f t="shared" si="332"/>
        <v>0</v>
      </c>
      <c r="AI201" s="60">
        <f t="shared" si="333"/>
        <v>0</v>
      </c>
      <c r="AJ201" s="75">
        <f t="shared" si="334"/>
        <v>46500</v>
      </c>
    </row>
    <row r="202" spans="1:37" x14ac:dyDescent="0.25">
      <c r="A202" s="32" t="s">
        <v>148</v>
      </c>
      <c r="B202" s="60">
        <f>((8015*13))</f>
        <v>104195</v>
      </c>
      <c r="C202" s="63"/>
      <c r="D202" s="63"/>
      <c r="E202" s="63"/>
      <c r="F202" s="75">
        <f t="shared" si="325"/>
        <v>104195</v>
      </c>
      <c r="H202" s="60">
        <f>((7105*13))+10000</f>
        <v>102365</v>
      </c>
      <c r="I202" s="63"/>
      <c r="J202" s="63"/>
      <c r="K202" s="63"/>
      <c r="L202" s="75">
        <f t="shared" si="326"/>
        <v>102365</v>
      </c>
      <c r="N202" s="60">
        <f>(24050*13)+(12500*2)</f>
        <v>337650</v>
      </c>
      <c r="O202" s="63"/>
      <c r="P202" s="63"/>
      <c r="Q202" s="63"/>
      <c r="R202" s="75">
        <f t="shared" si="327"/>
        <v>337650</v>
      </c>
      <c r="T202" s="60">
        <f>2475*13</f>
        <v>32175</v>
      </c>
      <c r="U202" s="63"/>
      <c r="V202" s="63"/>
      <c r="W202" s="63"/>
      <c r="X202" s="75">
        <f t="shared" si="328"/>
        <v>32175</v>
      </c>
      <c r="Z202" s="60"/>
      <c r="AA202" s="63"/>
      <c r="AB202" s="63"/>
      <c r="AC202" s="63"/>
      <c r="AD202" s="75">
        <f t="shared" si="329"/>
        <v>0</v>
      </c>
      <c r="AF202" s="60">
        <f t="shared" si="330"/>
        <v>576385</v>
      </c>
      <c r="AG202" s="60">
        <f t="shared" si="331"/>
        <v>0</v>
      </c>
      <c r="AH202" s="60">
        <f t="shared" si="332"/>
        <v>0</v>
      </c>
      <c r="AI202" s="60">
        <f t="shared" si="333"/>
        <v>0</v>
      </c>
      <c r="AJ202" s="75">
        <f t="shared" si="334"/>
        <v>576385</v>
      </c>
    </row>
    <row r="203" spans="1:37" x14ac:dyDescent="0.25">
      <c r="A203" s="32" t="s">
        <v>149</v>
      </c>
      <c r="B203" s="60">
        <v>145000</v>
      </c>
      <c r="C203" s="63"/>
      <c r="D203" s="63"/>
      <c r="E203" s="63"/>
      <c r="F203" s="75">
        <f t="shared" si="325"/>
        <v>145000</v>
      </c>
      <c r="H203" s="60">
        <v>140000</v>
      </c>
      <c r="I203" s="63"/>
      <c r="J203" s="63"/>
      <c r="K203" s="63"/>
      <c r="L203" s="75">
        <f t="shared" si="326"/>
        <v>140000</v>
      </c>
      <c r="N203" s="60">
        <v>235000</v>
      </c>
      <c r="O203" s="63"/>
      <c r="P203" s="63"/>
      <c r="Q203" s="63">
        <v>0</v>
      </c>
      <c r="R203" s="75">
        <f t="shared" si="327"/>
        <v>235000</v>
      </c>
      <c r="T203" s="60">
        <v>40000</v>
      </c>
      <c r="U203" s="63"/>
      <c r="V203" s="63">
        <v>0</v>
      </c>
      <c r="W203" s="63"/>
      <c r="X203" s="75">
        <f t="shared" si="328"/>
        <v>40000</v>
      </c>
      <c r="Z203" s="60"/>
      <c r="AA203" s="63"/>
      <c r="AB203" s="63"/>
      <c r="AC203" s="63">
        <f>AC85</f>
        <v>0</v>
      </c>
      <c r="AD203" s="75">
        <f t="shared" si="329"/>
        <v>0</v>
      </c>
      <c r="AF203" s="60">
        <f t="shared" si="330"/>
        <v>560000</v>
      </c>
      <c r="AG203" s="60">
        <f t="shared" si="331"/>
        <v>0</v>
      </c>
      <c r="AH203" s="60">
        <f t="shared" si="332"/>
        <v>0</v>
      </c>
      <c r="AI203" s="60">
        <f t="shared" si="333"/>
        <v>0</v>
      </c>
      <c r="AJ203" s="75">
        <f t="shared" si="334"/>
        <v>560000</v>
      </c>
    </row>
    <row r="204" spans="1:37" x14ac:dyDescent="0.25">
      <c r="A204" s="32" t="s">
        <v>150</v>
      </c>
      <c r="B204" s="60">
        <v>0</v>
      </c>
      <c r="C204" s="63"/>
      <c r="D204" s="63"/>
      <c r="E204" s="63"/>
      <c r="F204" s="75">
        <f t="shared" si="325"/>
        <v>0</v>
      </c>
      <c r="H204" s="60">
        <v>0</v>
      </c>
      <c r="I204" s="63"/>
      <c r="J204" s="63"/>
      <c r="K204" s="63"/>
      <c r="L204" s="75">
        <f t="shared" si="326"/>
        <v>0</v>
      </c>
      <c r="N204" s="60">
        <v>0</v>
      </c>
      <c r="O204" s="63"/>
      <c r="P204" s="63"/>
      <c r="Q204" s="63"/>
      <c r="R204" s="75">
        <f t="shared" si="327"/>
        <v>0</v>
      </c>
      <c r="T204" s="60"/>
      <c r="U204" s="63"/>
      <c r="V204" s="63"/>
      <c r="W204" s="63"/>
      <c r="X204" s="75">
        <f t="shared" si="328"/>
        <v>0</v>
      </c>
      <c r="Z204" s="60"/>
      <c r="AA204" s="63"/>
      <c r="AB204" s="63"/>
      <c r="AC204" s="63"/>
      <c r="AD204" s="75">
        <f t="shared" si="329"/>
        <v>0</v>
      </c>
      <c r="AF204" s="60">
        <f t="shared" si="330"/>
        <v>0</v>
      </c>
      <c r="AG204" s="60">
        <f t="shared" si="331"/>
        <v>0</v>
      </c>
      <c r="AH204" s="60">
        <f t="shared" si="332"/>
        <v>0</v>
      </c>
      <c r="AI204" s="60">
        <f t="shared" si="333"/>
        <v>0</v>
      </c>
      <c r="AJ204" s="75">
        <f t="shared" si="334"/>
        <v>0</v>
      </c>
    </row>
    <row r="205" spans="1:37" x14ac:dyDescent="0.25">
      <c r="A205" s="32" t="s">
        <v>151</v>
      </c>
      <c r="B205" s="60">
        <v>25250</v>
      </c>
      <c r="C205" s="63"/>
      <c r="D205" s="63"/>
      <c r="E205" s="63"/>
      <c r="F205" s="75">
        <f t="shared" si="325"/>
        <v>25250</v>
      </c>
      <c r="H205" s="60">
        <f>((700*1.04)*12)+12000</f>
        <v>20736</v>
      </c>
      <c r="I205" s="63"/>
      <c r="J205" s="63"/>
      <c r="K205" s="63"/>
      <c r="L205" s="75">
        <f t="shared" si="326"/>
        <v>20736</v>
      </c>
      <c r="N205" s="60">
        <f>((1750*1.04)*12)+14000</f>
        <v>35840</v>
      </c>
      <c r="O205" s="63"/>
      <c r="P205" s="63"/>
      <c r="Q205" s="63"/>
      <c r="R205" s="75">
        <f t="shared" si="327"/>
        <v>35840</v>
      </c>
      <c r="T205" s="60">
        <f>750*12</f>
        <v>9000</v>
      </c>
      <c r="U205" s="63"/>
      <c r="V205" s="63"/>
      <c r="W205" s="63"/>
      <c r="X205" s="75">
        <f t="shared" si="328"/>
        <v>9000</v>
      </c>
      <c r="Z205" s="60"/>
      <c r="AA205" s="63"/>
      <c r="AB205" s="63"/>
      <c r="AC205" s="63"/>
      <c r="AD205" s="75">
        <f t="shared" si="329"/>
        <v>0</v>
      </c>
      <c r="AF205" s="60">
        <f t="shared" si="330"/>
        <v>90826</v>
      </c>
      <c r="AG205" s="60">
        <f t="shared" si="331"/>
        <v>0</v>
      </c>
      <c r="AH205" s="60">
        <f t="shared" si="332"/>
        <v>0</v>
      </c>
      <c r="AI205" s="60">
        <f t="shared" si="333"/>
        <v>0</v>
      </c>
      <c r="AJ205" s="75">
        <f t="shared" si="334"/>
        <v>90826</v>
      </c>
    </row>
    <row r="206" spans="1:37" x14ac:dyDescent="0.25">
      <c r="A206" s="33" t="s">
        <v>152</v>
      </c>
      <c r="B206" s="60">
        <f>((13610*1.04)+20000)</f>
        <v>34154.400000000001</v>
      </c>
      <c r="C206" s="64"/>
      <c r="D206" s="64"/>
      <c r="E206" s="64"/>
      <c r="F206" s="75">
        <f t="shared" si="325"/>
        <v>34154.400000000001</v>
      </c>
      <c r="H206" s="60">
        <f>((12860*1.04)+20000)</f>
        <v>33374.400000000001</v>
      </c>
      <c r="I206" s="64"/>
      <c r="J206" s="64"/>
      <c r="K206" s="64"/>
      <c r="L206" s="75">
        <f t="shared" si="326"/>
        <v>33374.400000000001</v>
      </c>
      <c r="N206" s="60">
        <f>(24500*1.04)+30000</f>
        <v>55480</v>
      </c>
      <c r="O206" s="64"/>
      <c r="P206" s="64"/>
      <c r="Q206" s="64"/>
      <c r="R206" s="75">
        <f t="shared" si="327"/>
        <v>55480</v>
      </c>
      <c r="T206" s="60">
        <v>20000</v>
      </c>
      <c r="U206" s="64"/>
      <c r="V206" s="64"/>
      <c r="W206" s="64"/>
      <c r="X206" s="75">
        <f t="shared" si="328"/>
        <v>20000</v>
      </c>
      <c r="Z206" s="60"/>
      <c r="AA206" s="64"/>
      <c r="AB206" s="64"/>
      <c r="AC206" s="64"/>
      <c r="AD206" s="75">
        <f t="shared" si="329"/>
        <v>0</v>
      </c>
      <c r="AF206" s="60">
        <f t="shared" si="330"/>
        <v>143008.79999999999</v>
      </c>
      <c r="AG206" s="60">
        <f t="shared" si="331"/>
        <v>0</v>
      </c>
      <c r="AH206" s="60">
        <f t="shared" si="332"/>
        <v>0</v>
      </c>
      <c r="AI206" s="60">
        <f t="shared" si="333"/>
        <v>0</v>
      </c>
      <c r="AJ206" s="75">
        <f t="shared" si="334"/>
        <v>143008.79999999999</v>
      </c>
    </row>
    <row r="207" spans="1:37" x14ac:dyDescent="0.25">
      <c r="A207" s="34"/>
      <c r="B207" s="76">
        <f>SUM(B197:B206)</f>
        <v>510599.4</v>
      </c>
      <c r="C207" s="76">
        <f t="shared" ref="C207:E207" si="335">SUM(C197:C206)</f>
        <v>0</v>
      </c>
      <c r="D207" s="76">
        <f t="shared" si="335"/>
        <v>0</v>
      </c>
      <c r="E207" s="76">
        <f t="shared" si="335"/>
        <v>0</v>
      </c>
      <c r="F207" s="76">
        <f t="shared" ref="F207" si="336">SUM(F197:F206)</f>
        <v>510599.4</v>
      </c>
      <c r="H207" s="76">
        <f>SUM(H197:H206)</f>
        <v>500975.4</v>
      </c>
      <c r="I207" s="76">
        <f t="shared" ref="I207:L207" si="337">SUM(I197:I206)</f>
        <v>0</v>
      </c>
      <c r="J207" s="76">
        <f t="shared" si="337"/>
        <v>0</v>
      </c>
      <c r="K207" s="76">
        <f t="shared" si="337"/>
        <v>0</v>
      </c>
      <c r="L207" s="76">
        <f t="shared" si="337"/>
        <v>500975.4</v>
      </c>
      <c r="N207" s="76">
        <f>SUM(N197:N206)</f>
        <v>1185970</v>
      </c>
      <c r="O207" s="76">
        <f t="shared" ref="O207:R207" si="338">SUM(O197:O206)</f>
        <v>0</v>
      </c>
      <c r="P207" s="76">
        <f t="shared" si="338"/>
        <v>0</v>
      </c>
      <c r="Q207" s="76">
        <f t="shared" si="338"/>
        <v>0</v>
      </c>
      <c r="R207" s="76">
        <f t="shared" si="338"/>
        <v>1185970</v>
      </c>
      <c r="T207" s="76">
        <f>SUM(T197:T206)</f>
        <v>212675</v>
      </c>
      <c r="U207" s="76">
        <f t="shared" ref="U207:W207" si="339">SUM(U197:U206)</f>
        <v>0</v>
      </c>
      <c r="V207" s="76">
        <f t="shared" si="339"/>
        <v>0</v>
      </c>
      <c r="W207" s="76">
        <f t="shared" si="339"/>
        <v>0</v>
      </c>
      <c r="X207" s="76">
        <f t="shared" ref="X207" si="340">SUM(X197:X206)</f>
        <v>212675</v>
      </c>
      <c r="Z207" s="76">
        <f>SUM(Z197:Z206)</f>
        <v>0</v>
      </c>
      <c r="AA207" s="76">
        <f t="shared" ref="AA207:AC207" si="341">SUM(AA197:AA206)</f>
        <v>0</v>
      </c>
      <c r="AB207" s="76">
        <f t="shared" si="341"/>
        <v>0</v>
      </c>
      <c r="AC207" s="76">
        <f t="shared" si="341"/>
        <v>0</v>
      </c>
      <c r="AD207" s="76">
        <f t="shared" ref="AD207" si="342">SUM(AD197:AD206)</f>
        <v>0</v>
      </c>
      <c r="AF207" s="76">
        <f>SUM(AF197:AF206)</f>
        <v>2410219.7999999998</v>
      </c>
      <c r="AG207" s="76">
        <f t="shared" ref="AG207:AI207" si="343">SUM(AG197:AG206)</f>
        <v>0</v>
      </c>
      <c r="AH207" s="76">
        <f t="shared" si="343"/>
        <v>0</v>
      </c>
      <c r="AI207" s="76">
        <f t="shared" si="343"/>
        <v>0</v>
      </c>
      <c r="AJ207" s="76">
        <f t="shared" ref="AJ207" si="344">SUM(AJ197:AJ206)</f>
        <v>2410219.7999999998</v>
      </c>
    </row>
    <row r="208" spans="1:37" ht="16.5" thickBot="1" x14ac:dyDescent="0.3">
      <c r="B208" s="77"/>
      <c r="C208" s="77"/>
      <c r="D208" s="77"/>
      <c r="E208" s="77"/>
      <c r="F208" s="77"/>
      <c r="H208" s="77"/>
      <c r="I208" s="77"/>
      <c r="J208" s="77"/>
      <c r="K208" s="77"/>
      <c r="L208" s="77"/>
      <c r="N208" s="77"/>
      <c r="O208" s="77"/>
      <c r="P208" s="77"/>
      <c r="Q208" s="77"/>
      <c r="R208" s="77"/>
      <c r="T208" s="77"/>
      <c r="U208" s="77"/>
      <c r="V208" s="77"/>
      <c r="W208" s="77"/>
      <c r="X208" s="77"/>
      <c r="Z208" s="77"/>
      <c r="AA208" s="77"/>
      <c r="AB208" s="77"/>
      <c r="AC208" s="77"/>
      <c r="AD208" s="77"/>
      <c r="AF208" s="77"/>
      <c r="AG208" s="77"/>
      <c r="AH208" s="77"/>
      <c r="AI208" s="77"/>
      <c r="AJ208" s="77"/>
    </row>
    <row r="209" spans="1:36" ht="16.5" thickBot="1" x14ac:dyDescent="0.3">
      <c r="A209"/>
      <c r="B209" s="80">
        <f t="shared" ref="B209:E209" si="345">B207+B194+B171+B159+B149+B141+B132+B125+B116+B109</f>
        <v>10087184.796250001</v>
      </c>
      <c r="C209" s="80">
        <f t="shared" si="345"/>
        <v>1199410.3125</v>
      </c>
      <c r="D209" s="80">
        <f t="shared" si="345"/>
        <v>1163189.5</v>
      </c>
      <c r="E209" s="80">
        <f t="shared" si="345"/>
        <v>0</v>
      </c>
      <c r="F209" s="80">
        <f t="shared" ref="F209" si="346">F207+F194+F171+F159+F149+F141+F132+F125+F116+F109</f>
        <v>12449784.608750001</v>
      </c>
      <c r="H209" s="80">
        <f t="shared" ref="H209:L209" si="347">H207+H194+H171+H159+H149+H141+H132+H125+H116+H109</f>
        <v>9973670.9275000002</v>
      </c>
      <c r="I209" s="80">
        <f t="shared" si="347"/>
        <v>1107903.5625</v>
      </c>
      <c r="J209" s="80">
        <f t="shared" si="347"/>
        <v>985160.5</v>
      </c>
      <c r="K209" s="80">
        <f t="shared" si="347"/>
        <v>0</v>
      </c>
      <c r="L209" s="80">
        <f t="shared" si="347"/>
        <v>12066734.99</v>
      </c>
      <c r="N209" s="80">
        <f t="shared" ref="N209:R209" si="348">N207+N194+N171+N159+N149+N141+N132+N125+N116+N109</f>
        <v>22447611.789999999</v>
      </c>
      <c r="O209" s="80">
        <f t="shared" si="348"/>
        <v>2629777.375</v>
      </c>
      <c r="P209" s="80">
        <f t="shared" si="348"/>
        <v>1755599.25</v>
      </c>
      <c r="Q209" s="80">
        <f t="shared" si="348"/>
        <v>0</v>
      </c>
      <c r="R209" s="80">
        <f t="shared" si="348"/>
        <v>26832988.414999999</v>
      </c>
      <c r="T209" s="80">
        <f t="shared" ref="T209:X209" si="349">T207+T194+T171+T159+T149+T141+T132+T125+T116+T109</f>
        <v>3726613.79</v>
      </c>
      <c r="U209" s="80">
        <f t="shared" si="349"/>
        <v>525095</v>
      </c>
      <c r="V209" s="80">
        <f t="shared" si="349"/>
        <v>380754</v>
      </c>
      <c r="W209" s="80">
        <f t="shared" si="349"/>
        <v>0</v>
      </c>
      <c r="X209" s="80">
        <f t="shared" si="349"/>
        <v>4632462.79</v>
      </c>
      <c r="Z209" s="80">
        <f t="shared" ref="Z209:AD209" si="350">Z207+Z194+Z171+Z159+Z149+Z141+Z132+Z125+Z116+Z109</f>
        <v>149875.25</v>
      </c>
      <c r="AA209" s="80">
        <f t="shared" si="350"/>
        <v>448225</v>
      </c>
      <c r="AB209" s="80">
        <f t="shared" si="350"/>
        <v>100082.8125</v>
      </c>
      <c r="AC209" s="80">
        <f t="shared" si="350"/>
        <v>1993737.5</v>
      </c>
      <c r="AD209" s="80">
        <f t="shared" si="350"/>
        <v>2691920.5625</v>
      </c>
      <c r="AF209" s="80">
        <f t="shared" ref="AF209:AJ209" si="351">AF207+AF194+AF171+AF159+AF149+AF141+AF132+AF125+AF116+AF109</f>
        <v>46384956.553750001</v>
      </c>
      <c r="AG209" s="80">
        <f t="shared" si="351"/>
        <v>5910411.25</v>
      </c>
      <c r="AH209" s="80">
        <f t="shared" si="351"/>
        <v>4384786.0625</v>
      </c>
      <c r="AI209" s="80">
        <f t="shared" si="351"/>
        <v>1993737.5</v>
      </c>
      <c r="AJ209" s="80">
        <f t="shared" si="351"/>
        <v>58673891.366250001</v>
      </c>
    </row>
    <row r="210" spans="1:36" ht="16.5" thickBot="1" x14ac:dyDescent="0.3">
      <c r="B210" s="77"/>
      <c r="C210" s="77"/>
      <c r="D210" s="77"/>
      <c r="E210" s="77"/>
      <c r="F210" s="77"/>
      <c r="H210" s="77"/>
      <c r="I210" s="77"/>
      <c r="J210" s="77"/>
      <c r="K210" s="77"/>
      <c r="L210" s="77"/>
      <c r="N210" s="77"/>
      <c r="O210" s="77"/>
      <c r="P210" s="77"/>
      <c r="Q210" s="77"/>
      <c r="R210" s="77"/>
      <c r="T210" s="77"/>
      <c r="U210" s="77"/>
      <c r="V210" s="77"/>
      <c r="W210" s="77"/>
      <c r="X210" s="77"/>
      <c r="Z210" s="57"/>
      <c r="AA210" s="57"/>
      <c r="AB210" s="57"/>
      <c r="AC210" s="57"/>
      <c r="AD210" s="77"/>
      <c r="AF210" s="57"/>
      <c r="AG210" s="57"/>
      <c r="AH210" s="57"/>
      <c r="AI210" s="57"/>
      <c r="AJ210" s="77"/>
    </row>
    <row r="211" spans="1:36" ht="16.5" thickBot="1" x14ac:dyDescent="0.3">
      <c r="A211" s="36"/>
      <c r="B211" s="81"/>
      <c r="C211" s="81"/>
      <c r="D211" s="81"/>
      <c r="E211" s="81"/>
      <c r="F211" s="81"/>
      <c r="H211" s="81"/>
      <c r="I211" s="81"/>
      <c r="J211" s="81"/>
      <c r="K211" s="81"/>
      <c r="L211" s="81"/>
      <c r="N211" s="81"/>
      <c r="O211" s="81"/>
      <c r="P211" s="81"/>
      <c r="Q211" s="81"/>
      <c r="R211" s="81"/>
      <c r="T211" s="81"/>
      <c r="U211" s="81"/>
      <c r="V211" s="81"/>
      <c r="W211" s="81"/>
      <c r="X211" s="81"/>
      <c r="Z211" s="81"/>
      <c r="AA211" s="81"/>
      <c r="AB211" s="81"/>
      <c r="AC211" s="81"/>
      <c r="AD211" s="81"/>
      <c r="AF211" s="81"/>
      <c r="AG211" s="81"/>
      <c r="AH211" s="81"/>
      <c r="AI211" s="81"/>
      <c r="AJ211" s="81"/>
    </row>
    <row r="212" spans="1:36" x14ac:dyDescent="0.25">
      <c r="A212" s="37" t="s">
        <v>153</v>
      </c>
      <c r="B212" s="82">
        <v>0</v>
      </c>
      <c r="C212" s="82"/>
      <c r="D212" s="82"/>
      <c r="E212" s="82"/>
      <c r="F212" s="82">
        <f>SUM(B212:E212)</f>
        <v>0</v>
      </c>
      <c r="H212" s="82">
        <v>0</v>
      </c>
      <c r="I212" s="82"/>
      <c r="J212" s="82"/>
      <c r="K212" s="82"/>
      <c r="L212" s="82">
        <f>SUM(H212:K212)</f>
        <v>0</v>
      </c>
      <c r="N212" s="82">
        <v>0</v>
      </c>
      <c r="O212" s="82"/>
      <c r="P212" s="82"/>
      <c r="Q212" s="82"/>
      <c r="R212" s="82">
        <f>SUM(N212:Q212)</f>
        <v>0</v>
      </c>
      <c r="T212" s="82">
        <v>167000</v>
      </c>
      <c r="U212" s="82"/>
      <c r="V212" s="82"/>
      <c r="W212" s="82"/>
      <c r="X212" s="82">
        <f>SUM(T212:W212)</f>
        <v>167000</v>
      </c>
      <c r="Y212" s="151"/>
      <c r="Z212" s="82"/>
      <c r="AA212" s="82"/>
      <c r="AB212" s="82"/>
      <c r="AC212" s="82"/>
      <c r="AD212" s="82">
        <f>SUM(Z212:AC212)</f>
        <v>0</v>
      </c>
      <c r="AF212" s="82">
        <f>B212+H212+N212+T212+Z212</f>
        <v>167000</v>
      </c>
      <c r="AG212" s="82">
        <f t="shared" ref="AG212:AI212" si="352">C212+I212+O212+U212+AA212</f>
        <v>0</v>
      </c>
      <c r="AH212" s="82">
        <f t="shared" si="352"/>
        <v>0</v>
      </c>
      <c r="AI212" s="82">
        <f t="shared" si="352"/>
        <v>0</v>
      </c>
      <c r="AJ212" s="82">
        <f>SUM(AF212:AI212)</f>
        <v>167000</v>
      </c>
    </row>
    <row r="213" spans="1:36" x14ac:dyDescent="0.25">
      <c r="A213" s="38" t="s">
        <v>154</v>
      </c>
      <c r="B213" s="83">
        <v>297500</v>
      </c>
      <c r="C213" s="83"/>
      <c r="D213" s="83"/>
      <c r="E213" s="83"/>
      <c r="F213" s="82">
        <f t="shared" ref="F213:F215" si="353">SUM(B213:E213)</f>
        <v>297500</v>
      </c>
      <c r="H213" s="83">
        <v>295000</v>
      </c>
      <c r="I213" s="83"/>
      <c r="J213" s="83"/>
      <c r="K213" s="83"/>
      <c r="L213" s="82">
        <f t="shared" ref="L213:L215" si="354">SUM(H213:K213)</f>
        <v>295000</v>
      </c>
      <c r="N213" s="83">
        <v>840000</v>
      </c>
      <c r="O213" s="83"/>
      <c r="P213" s="83"/>
      <c r="Q213" s="83"/>
      <c r="R213" s="82">
        <f t="shared" ref="R213:R215" si="355">SUM(N213:Q213)</f>
        <v>840000</v>
      </c>
      <c r="T213" s="83">
        <v>0</v>
      </c>
      <c r="U213" s="83"/>
      <c r="V213" s="83"/>
      <c r="W213" s="83"/>
      <c r="X213" s="82">
        <f t="shared" ref="X213:X215" si="356">SUM(T213:W213)</f>
        <v>0</v>
      </c>
      <c r="Y213" s="151"/>
      <c r="Z213" s="83"/>
      <c r="AA213" s="83"/>
      <c r="AB213" s="83"/>
      <c r="AC213" s="83"/>
      <c r="AD213" s="82">
        <f t="shared" ref="AD213:AD215" si="357">SUM(Z213:AC213)</f>
        <v>0</v>
      </c>
      <c r="AF213" s="82">
        <f t="shared" ref="AF213:AF215" si="358">B213+H213+N213+T213+Z213</f>
        <v>1432500</v>
      </c>
      <c r="AG213" s="82">
        <f t="shared" ref="AG213:AG215" si="359">C213+I213+O213+U213+AA213</f>
        <v>0</v>
      </c>
      <c r="AH213" s="82">
        <f t="shared" ref="AH213:AH215" si="360">D213+J213+P213+V213+AB213</f>
        <v>0</v>
      </c>
      <c r="AI213" s="82">
        <f t="shared" ref="AI213:AI215" si="361">E213+K213+Q213+W213+AC213</f>
        <v>0</v>
      </c>
      <c r="AJ213" s="82">
        <f t="shared" ref="AJ213:AJ215" si="362">SUM(AF213:AI213)</f>
        <v>1432500</v>
      </c>
    </row>
    <row r="214" spans="1:36" x14ac:dyDescent="0.25">
      <c r="A214" s="38" t="s">
        <v>155</v>
      </c>
      <c r="B214" s="83">
        <v>719013</v>
      </c>
      <c r="C214" s="83"/>
      <c r="D214" s="83"/>
      <c r="E214" s="83"/>
      <c r="F214" s="82">
        <f t="shared" si="353"/>
        <v>719013</v>
      </c>
      <c r="H214" s="83">
        <v>689800</v>
      </c>
      <c r="I214" s="83"/>
      <c r="J214" s="83"/>
      <c r="K214" s="83"/>
      <c r="L214" s="82">
        <f t="shared" si="354"/>
        <v>689800</v>
      </c>
      <c r="N214" s="83">
        <v>2775100</v>
      </c>
      <c r="O214" s="83"/>
      <c r="P214" s="83"/>
      <c r="Q214" s="83"/>
      <c r="R214" s="82">
        <f t="shared" si="355"/>
        <v>2775100</v>
      </c>
      <c r="T214" s="83">
        <v>885665</v>
      </c>
      <c r="U214" s="83"/>
      <c r="V214" s="83"/>
      <c r="W214" s="83"/>
      <c r="X214" s="82">
        <f t="shared" si="356"/>
        <v>885665</v>
      </c>
      <c r="Z214" s="83"/>
      <c r="AA214" s="83"/>
      <c r="AB214" s="83"/>
      <c r="AC214" s="83"/>
      <c r="AD214" s="82">
        <f t="shared" si="357"/>
        <v>0</v>
      </c>
      <c r="AF214" s="82">
        <f t="shared" si="358"/>
        <v>5069578</v>
      </c>
      <c r="AG214" s="82">
        <f t="shared" si="359"/>
        <v>0</v>
      </c>
      <c r="AH214" s="82">
        <f t="shared" si="360"/>
        <v>0</v>
      </c>
      <c r="AI214" s="82">
        <f t="shared" si="361"/>
        <v>0</v>
      </c>
      <c r="AJ214" s="82">
        <f t="shared" si="362"/>
        <v>5069578</v>
      </c>
    </row>
    <row r="215" spans="1:36" x14ac:dyDescent="0.25">
      <c r="A215" s="39" t="s">
        <v>156</v>
      </c>
      <c r="B215" s="84">
        <v>0</v>
      </c>
      <c r="C215" s="84"/>
      <c r="D215" s="84"/>
      <c r="E215" s="84"/>
      <c r="F215" s="82">
        <f t="shared" si="353"/>
        <v>0</v>
      </c>
      <c r="H215" s="84">
        <v>0</v>
      </c>
      <c r="I215" s="84"/>
      <c r="J215" s="84"/>
      <c r="K215" s="84"/>
      <c r="L215" s="82">
        <f t="shared" si="354"/>
        <v>0</v>
      </c>
      <c r="N215" s="84">
        <v>0</v>
      </c>
      <c r="O215" s="84"/>
      <c r="P215" s="84"/>
      <c r="Q215" s="84"/>
      <c r="R215" s="82">
        <f t="shared" si="355"/>
        <v>0</v>
      </c>
      <c r="T215" s="84">
        <v>0</v>
      </c>
      <c r="U215" s="84"/>
      <c r="V215" s="84"/>
      <c r="W215" s="84"/>
      <c r="X215" s="82">
        <f t="shared" si="356"/>
        <v>0</v>
      </c>
      <c r="Z215" s="84"/>
      <c r="AA215" s="84"/>
      <c r="AB215" s="84"/>
      <c r="AC215" s="84"/>
      <c r="AD215" s="82">
        <f t="shared" si="357"/>
        <v>0</v>
      </c>
      <c r="AF215" s="82">
        <f t="shared" si="358"/>
        <v>0</v>
      </c>
      <c r="AG215" s="82">
        <f t="shared" si="359"/>
        <v>0</v>
      </c>
      <c r="AH215" s="82">
        <f t="shared" si="360"/>
        <v>0</v>
      </c>
      <c r="AI215" s="82">
        <f t="shared" si="361"/>
        <v>0</v>
      </c>
      <c r="AJ215" s="82">
        <f t="shared" si="362"/>
        <v>0</v>
      </c>
    </row>
    <row r="216" spans="1:36" x14ac:dyDescent="0.25">
      <c r="A216" s="27"/>
      <c r="B216" s="76">
        <f>SUM(B212:B215)</f>
        <v>1016513</v>
      </c>
      <c r="C216" s="76">
        <f t="shared" ref="C216:E216" si="363">SUM(C212:C215)</f>
        <v>0</v>
      </c>
      <c r="D216" s="76">
        <f t="shared" si="363"/>
        <v>0</v>
      </c>
      <c r="E216" s="76">
        <f t="shared" si="363"/>
        <v>0</v>
      </c>
      <c r="F216" s="76">
        <f t="shared" ref="F216" si="364">SUM(F212:F215)</f>
        <v>1016513</v>
      </c>
      <c r="H216" s="76">
        <f>SUM(H212:H215)</f>
        <v>984800</v>
      </c>
      <c r="I216" s="76">
        <f t="shared" ref="I216:L216" si="365">SUM(I212:I215)</f>
        <v>0</v>
      </c>
      <c r="J216" s="76">
        <f t="shared" si="365"/>
        <v>0</v>
      </c>
      <c r="K216" s="76">
        <f t="shared" si="365"/>
        <v>0</v>
      </c>
      <c r="L216" s="76">
        <f t="shared" si="365"/>
        <v>984800</v>
      </c>
      <c r="N216" s="76">
        <f>SUM(N212:N215)</f>
        <v>3615100</v>
      </c>
      <c r="O216" s="76">
        <f t="shared" ref="O216:R216" si="366">SUM(O212:O215)</f>
        <v>0</v>
      </c>
      <c r="P216" s="76">
        <f t="shared" si="366"/>
        <v>0</v>
      </c>
      <c r="Q216" s="76">
        <f t="shared" si="366"/>
        <v>0</v>
      </c>
      <c r="R216" s="76">
        <f t="shared" si="366"/>
        <v>3615100</v>
      </c>
      <c r="T216" s="76">
        <f t="shared" ref="T216:X216" si="367">SUM(T212:T215)</f>
        <v>1052665</v>
      </c>
      <c r="U216" s="76">
        <f t="shared" si="367"/>
        <v>0</v>
      </c>
      <c r="V216" s="76">
        <f t="shared" si="367"/>
        <v>0</v>
      </c>
      <c r="W216" s="76">
        <f t="shared" si="367"/>
        <v>0</v>
      </c>
      <c r="X216" s="76">
        <f t="shared" si="367"/>
        <v>1052665</v>
      </c>
      <c r="Z216" s="76">
        <f>SUM(Z212:Z215)</f>
        <v>0</v>
      </c>
      <c r="AA216" s="76">
        <f t="shared" ref="AA216:AD216" si="368">SUM(AA212:AA215)</f>
        <v>0</v>
      </c>
      <c r="AB216" s="76">
        <f t="shared" si="368"/>
        <v>0</v>
      </c>
      <c r="AC216" s="76">
        <f t="shared" si="368"/>
        <v>0</v>
      </c>
      <c r="AD216" s="76">
        <f t="shared" si="368"/>
        <v>0</v>
      </c>
      <c r="AF216" s="76">
        <f>SUM(AF212:AF215)</f>
        <v>6669078</v>
      </c>
      <c r="AG216" s="76">
        <f t="shared" ref="AG216:AJ216" si="369">SUM(AG212:AG215)</f>
        <v>0</v>
      </c>
      <c r="AH216" s="76">
        <f t="shared" si="369"/>
        <v>0</v>
      </c>
      <c r="AI216" s="76">
        <f t="shared" si="369"/>
        <v>0</v>
      </c>
      <c r="AJ216" s="76">
        <f t="shared" si="369"/>
        <v>6669078</v>
      </c>
    </row>
    <row r="217" spans="1:36" ht="16.5" thickBot="1" x14ac:dyDescent="0.3">
      <c r="B217" s="77"/>
      <c r="C217" s="77"/>
      <c r="D217" s="77"/>
      <c r="E217" s="77"/>
      <c r="F217" s="77"/>
      <c r="H217" s="77"/>
      <c r="I217" s="77"/>
      <c r="J217" s="77"/>
      <c r="K217" s="77"/>
      <c r="L217" s="77"/>
      <c r="N217" s="77"/>
      <c r="O217" s="77"/>
      <c r="P217" s="77"/>
      <c r="Q217" s="77"/>
      <c r="R217" s="77"/>
      <c r="T217" s="77"/>
      <c r="U217" s="77"/>
      <c r="V217" s="77"/>
      <c r="W217" s="77"/>
      <c r="X217" s="77"/>
      <c r="Z217" s="77"/>
      <c r="AA217" s="77"/>
      <c r="AB217" s="77"/>
      <c r="AC217" s="77"/>
      <c r="AD217" s="77"/>
      <c r="AF217" s="77"/>
      <c r="AG217" s="77"/>
      <c r="AH217" s="77"/>
      <c r="AI217" s="77"/>
      <c r="AJ217" s="77"/>
    </row>
    <row r="218" spans="1:36" ht="16.5" thickBot="1" x14ac:dyDescent="0.3">
      <c r="A218" s="40"/>
      <c r="B218" s="85">
        <f t="shared" ref="B218:E218" si="370">(B82+B88)-(B216+B209)</f>
        <v>534071.2037499994</v>
      </c>
      <c r="C218" s="85">
        <f t="shared" si="370"/>
        <v>-314399.3125</v>
      </c>
      <c r="D218" s="85">
        <f t="shared" si="370"/>
        <v>-30538.498300000094</v>
      </c>
      <c r="E218" s="85">
        <f t="shared" si="370"/>
        <v>0</v>
      </c>
      <c r="F218" s="85">
        <f t="shared" ref="F218" si="371">(F82+F88)-(F216+F209)</f>
        <v>189133.39294999838</v>
      </c>
      <c r="H218" s="85">
        <f t="shared" ref="H218:L218" si="372">(H82+H88)-(H216+H209)</f>
        <v>670886.07249999978</v>
      </c>
      <c r="I218" s="85">
        <f t="shared" si="372"/>
        <v>-222892.5625</v>
      </c>
      <c r="J218" s="85">
        <f t="shared" si="372"/>
        <v>-56224.748500000103</v>
      </c>
      <c r="K218" s="85">
        <f t="shared" si="372"/>
        <v>0</v>
      </c>
      <c r="L218" s="85">
        <f t="shared" si="372"/>
        <v>391768.76149999909</v>
      </c>
      <c r="N218" s="85">
        <f t="shared" ref="N218:Q218" si="373">(N82+N88)-(N216+N209)</f>
        <v>1000040.2100000009</v>
      </c>
      <c r="O218" s="85">
        <f t="shared" si="373"/>
        <v>-580000.375</v>
      </c>
      <c r="P218" s="85">
        <f t="shared" si="373"/>
        <v>-308442.59400000004</v>
      </c>
      <c r="Q218" s="85">
        <f t="shared" si="373"/>
        <v>0</v>
      </c>
      <c r="R218" s="85">
        <f>(R82+R88)-(R216+R209)</f>
        <v>111597.24100000039</v>
      </c>
      <c r="T218" s="85">
        <f t="shared" ref="T218:X218" si="374">(T82+T88)-(T216+T209)</f>
        <v>90232.209999999963</v>
      </c>
      <c r="U218" s="85">
        <f t="shared" si="374"/>
        <v>-99979</v>
      </c>
      <c r="V218" s="85">
        <f t="shared" si="374"/>
        <v>19008</v>
      </c>
      <c r="W218" s="85">
        <f t="shared" si="374"/>
        <v>0</v>
      </c>
      <c r="X218" s="85">
        <f t="shared" si="374"/>
        <v>9261.2099999999627</v>
      </c>
      <c r="Z218" s="85">
        <f t="shared" ref="Z218:AD218" si="375">(Z82+Z88)-(Z216+Z209)</f>
        <v>-59875.25</v>
      </c>
      <c r="AA218" s="85">
        <f t="shared" si="375"/>
        <v>-448225</v>
      </c>
      <c r="AB218" s="85">
        <f t="shared" si="375"/>
        <v>-100082.8125</v>
      </c>
      <c r="AC218" s="85">
        <f t="shared" si="375"/>
        <v>-415.5</v>
      </c>
      <c r="AD218" s="85">
        <f t="shared" si="375"/>
        <v>-608598.5625</v>
      </c>
      <c r="AF218" s="85">
        <f t="shared" ref="AF218:AJ218" si="376">(AF82+AF88)-(AF216+AF209)</f>
        <v>2235354.4462499991</v>
      </c>
      <c r="AG218" s="85">
        <f t="shared" si="376"/>
        <v>-1665496.25</v>
      </c>
      <c r="AH218" s="85">
        <f t="shared" si="376"/>
        <v>-476280.65330000035</v>
      </c>
      <c r="AI218" s="85">
        <f t="shared" si="376"/>
        <v>-415.5</v>
      </c>
      <c r="AJ218" s="85">
        <f t="shared" si="376"/>
        <v>93162.042949996889</v>
      </c>
    </row>
    <row r="219" spans="1:36" x14ac:dyDescent="0.25">
      <c r="B219" s="77"/>
      <c r="C219" s="77"/>
      <c r="D219" s="77"/>
      <c r="E219" s="77"/>
      <c r="F219" s="77"/>
      <c r="H219" s="77"/>
      <c r="I219" s="77"/>
      <c r="J219" s="77"/>
      <c r="K219" s="77"/>
      <c r="L219" s="77"/>
      <c r="N219" s="77"/>
      <c r="O219" s="77"/>
      <c r="P219" s="77"/>
      <c r="Q219" s="77"/>
      <c r="R219" s="77"/>
      <c r="T219" s="77"/>
      <c r="U219" s="77"/>
      <c r="V219" s="77"/>
      <c r="W219" s="77"/>
      <c r="X219" s="77"/>
      <c r="Z219" s="77"/>
      <c r="AA219" s="77"/>
      <c r="AB219" s="77"/>
      <c r="AC219" s="77"/>
      <c r="AD219" s="77"/>
      <c r="AF219" s="77"/>
      <c r="AG219" s="77"/>
      <c r="AH219" s="77"/>
      <c r="AI219" s="77"/>
      <c r="AJ219" s="77"/>
    </row>
    <row r="220" spans="1:36" x14ac:dyDescent="0.25">
      <c r="A220" s="41" t="str">
        <f>A1</f>
        <v>Mater Academy - System</v>
      </c>
      <c r="B220" s="86" t="str">
        <f t="shared" ref="B220:E220" si="377">B20</f>
        <v>Operating</v>
      </c>
      <c r="C220" s="86" t="str">
        <f t="shared" si="377"/>
        <v>SPED</v>
      </c>
      <c r="D220" s="86" t="str">
        <f t="shared" si="377"/>
        <v>NSLP</v>
      </c>
      <c r="E220" s="86" t="str">
        <f t="shared" si="377"/>
        <v>Other</v>
      </c>
      <c r="F220" s="86" t="str">
        <f t="shared" ref="F220" si="378">F20</f>
        <v>FY26- Mtn</v>
      </c>
      <c r="H220" s="86" t="str">
        <f t="shared" ref="H220:L220" si="379">H20</f>
        <v>Operating</v>
      </c>
      <c r="I220" s="86" t="str">
        <f t="shared" si="379"/>
        <v>SPED</v>
      </c>
      <c r="J220" s="86" t="str">
        <f t="shared" si="379"/>
        <v>NSLP</v>
      </c>
      <c r="K220" s="86" t="str">
        <f t="shared" si="379"/>
        <v>Other</v>
      </c>
      <c r="L220" s="86" t="str">
        <f t="shared" si="379"/>
        <v>FY26- Bon</v>
      </c>
      <c r="N220" s="86" t="str">
        <f t="shared" ref="N220:R220" si="380">N20</f>
        <v>Operating</v>
      </c>
      <c r="O220" s="86" t="str">
        <f t="shared" si="380"/>
        <v>SPED</v>
      </c>
      <c r="P220" s="86" t="str">
        <f t="shared" si="380"/>
        <v>NSLP</v>
      </c>
      <c r="Q220" s="86" t="str">
        <f t="shared" si="380"/>
        <v>Other</v>
      </c>
      <c r="R220" s="86" t="str">
        <f t="shared" si="380"/>
        <v>FY26- East</v>
      </c>
      <c r="T220" s="86" t="str">
        <f t="shared" ref="T220:X220" si="381">T20</f>
        <v>Operating</v>
      </c>
      <c r="U220" s="86" t="str">
        <f t="shared" si="381"/>
        <v>SPED</v>
      </c>
      <c r="V220" s="86" t="str">
        <f t="shared" si="381"/>
        <v>NSLP</v>
      </c>
      <c r="W220" s="86" t="str">
        <f t="shared" si="381"/>
        <v>Other</v>
      </c>
      <c r="X220" s="86" t="str">
        <f t="shared" si="381"/>
        <v>FY26- Cactus</v>
      </c>
      <c r="Z220" s="86" t="str">
        <f t="shared" ref="Z220:AD220" si="382">Z20</f>
        <v>Operating</v>
      </c>
      <c r="AA220" s="86" t="str">
        <f t="shared" si="382"/>
        <v>SPED</v>
      </c>
      <c r="AB220" s="86" t="str">
        <f t="shared" si="382"/>
        <v>NSLP</v>
      </c>
      <c r="AC220" s="86" t="str">
        <f t="shared" si="382"/>
        <v>Grant</v>
      </c>
      <c r="AD220" s="86" t="str">
        <f t="shared" si="382"/>
        <v>FY26 - Central</v>
      </c>
      <c r="AF220" s="86" t="str">
        <f t="shared" ref="AF220:AJ220" si="383">AF20</f>
        <v>Operating</v>
      </c>
      <c r="AG220" s="86" t="str">
        <f t="shared" si="383"/>
        <v>SPED</v>
      </c>
      <c r="AH220" s="86" t="str">
        <f t="shared" si="383"/>
        <v>NSLP</v>
      </c>
      <c r="AI220" s="86" t="str">
        <f t="shared" si="383"/>
        <v>Grant</v>
      </c>
      <c r="AJ220" s="86" t="str">
        <f t="shared" si="383"/>
        <v>FY26- Sys</v>
      </c>
    </row>
    <row r="221" spans="1:36" x14ac:dyDescent="0.25">
      <c r="H221" s="57"/>
      <c r="I221" s="57"/>
      <c r="J221" s="57"/>
      <c r="K221" s="57"/>
    </row>
  </sheetData>
  <printOptions horizontalCentered="1"/>
  <pageMargins left="0.7" right="0.7" top="0.75" bottom="0.75" header="0.3" footer="0.3"/>
  <pageSetup scale="65" orientation="portrait" r:id="rId1"/>
  <rowBreaks count="2" manualBreakCount="2">
    <brk id="117" max="16383" man="1"/>
    <brk id="172" max="16383" man="1"/>
  </rowBreaks>
  <colBreaks count="6" manualBreakCount="6">
    <brk id="6" max="1048575" man="1"/>
    <brk id="12" max="1048575" man="1"/>
    <brk id="13" max="1048575" man="1"/>
    <brk id="19" max="1048575" man="1"/>
    <brk id="25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81A3-DC41-4D89-94CD-E13DEC57B4F9}">
  <dimension ref="A1:AW222"/>
  <sheetViews>
    <sheetView zoomScale="80" zoomScaleNormal="80" workbookViewId="0">
      <pane xSplit="1" topLeftCell="V1" activePane="topRight" state="frozen"/>
      <selection pane="topRight" activeCell="Z189" sqref="Z189"/>
    </sheetView>
  </sheetViews>
  <sheetFormatPr defaultRowHeight="15.75" x14ac:dyDescent="0.25"/>
  <cols>
    <col min="1" max="1" width="55.5703125" style="7" bestFit="1" customWidth="1"/>
    <col min="2" max="6" width="14.42578125" customWidth="1"/>
    <col min="8" max="12" width="15" customWidth="1"/>
    <col min="14" max="18" width="15.42578125" customWidth="1"/>
    <col min="20" max="36" width="15.85546875" customWidth="1"/>
    <col min="38" max="42" width="16.42578125" customWidth="1"/>
    <col min="44" max="48" width="16.42578125" customWidth="1"/>
  </cols>
  <sheetData>
    <row r="1" spans="1:45" x14ac:dyDescent="0.25">
      <c r="A1" s="1" t="s">
        <v>0</v>
      </c>
      <c r="B1" s="1" t="s">
        <v>222</v>
      </c>
      <c r="H1" s="1" t="s">
        <v>164</v>
      </c>
      <c r="N1" s="1" t="s">
        <v>223</v>
      </c>
      <c r="O1" s="57"/>
      <c r="T1" s="1" t="s">
        <v>224</v>
      </c>
      <c r="U1" s="57"/>
      <c r="Z1" s="1" t="s">
        <v>322</v>
      </c>
      <c r="AA1" s="57"/>
      <c r="AF1" s="1" t="s">
        <v>297</v>
      </c>
      <c r="AG1" s="57"/>
      <c r="AL1" s="1" t="s">
        <v>225</v>
      </c>
      <c r="AM1" s="57"/>
      <c r="AR1" s="1" t="s">
        <v>272</v>
      </c>
      <c r="AS1" s="57"/>
    </row>
    <row r="2" spans="1:45" x14ac:dyDescent="0.25">
      <c r="A2" s="2" t="s">
        <v>1</v>
      </c>
      <c r="B2" s="42">
        <v>9486</v>
      </c>
      <c r="H2" s="42">
        <f>B2</f>
        <v>9486</v>
      </c>
      <c r="N2" s="42">
        <f>H2</f>
        <v>9486</v>
      </c>
      <c r="O2" s="57"/>
      <c r="T2" s="42">
        <f>N2</f>
        <v>9486</v>
      </c>
      <c r="U2" s="57"/>
      <c r="Z2" s="42">
        <f>T2</f>
        <v>9486</v>
      </c>
      <c r="AA2" s="57"/>
      <c r="AF2" s="42">
        <f>T2</f>
        <v>9486</v>
      </c>
      <c r="AG2" s="57"/>
      <c r="AL2" s="42">
        <f>T2</f>
        <v>9486</v>
      </c>
      <c r="AM2" s="57"/>
      <c r="AR2" s="42">
        <f>AL2</f>
        <v>9486</v>
      </c>
      <c r="AS2" s="57"/>
    </row>
    <row r="3" spans="1:45" x14ac:dyDescent="0.25">
      <c r="A3" s="3" t="s">
        <v>2</v>
      </c>
      <c r="B3" s="43">
        <f>B4+B5+B6+B7+B8+B9+B10+B11+B12+B13+B14+B15+B16</f>
        <v>1028</v>
      </c>
      <c r="H3" s="43">
        <f>H4+H5+H6+H7+H8+H9+H10+H11+H12+H13+H14+H15+H16</f>
        <v>1028</v>
      </c>
      <c r="N3" s="43">
        <f>N4+N5+N6+N7+N8+N9+N10+N11+N12+N13+N14+N15+N16</f>
        <v>2459</v>
      </c>
      <c r="O3" s="90"/>
      <c r="T3" s="43">
        <f>T4+T5+T6+T7+T8+T9+T10+T11+T12+T13+T14+T15+T16</f>
        <v>533</v>
      </c>
      <c r="U3" s="90"/>
      <c r="Z3" s="43">
        <f>Z4+Z5+Z6+Z7+Z8+Z9+Z10+Z11+Z12+Z13+Z14+Z15+Z16</f>
        <v>429</v>
      </c>
      <c r="AA3" s="90"/>
      <c r="AF3" s="43">
        <f>AF4+AF5+AF6+AF7+AF8+AF9+AF10+AF11+AF12+AF13+AF14+AF15+AF16</f>
        <v>0</v>
      </c>
      <c r="AG3" s="90"/>
      <c r="AL3" s="43">
        <f>AL4+AL5+AL6+AL7+AL8+AL9+AL10+AL11+AL12+AL13+AL14+AL15+AL16</f>
        <v>0</v>
      </c>
      <c r="AM3" s="90"/>
      <c r="AR3" s="43">
        <f>AR4+AR5+AR6+AR7+AR8+AR9+AR10+AR11+AR12+AR13+AR14+AR15+AR16</f>
        <v>5477</v>
      </c>
      <c r="AS3" s="90"/>
    </row>
    <row r="4" spans="1:45" x14ac:dyDescent="0.25">
      <c r="A4" s="4" t="s">
        <v>3</v>
      </c>
      <c r="B4" s="44">
        <v>104</v>
      </c>
      <c r="C4" s="92">
        <v>4</v>
      </c>
      <c r="H4" s="44">
        <v>104</v>
      </c>
      <c r="I4" s="92">
        <v>4</v>
      </c>
      <c r="N4" s="45">
        <f>26*4</f>
        <v>104</v>
      </c>
      <c r="O4" s="92">
        <v>4</v>
      </c>
      <c r="P4" s="166"/>
      <c r="T4" s="44">
        <f>25*3</f>
        <v>75</v>
      </c>
      <c r="U4" s="92">
        <v>3</v>
      </c>
      <c r="Z4" s="44">
        <f>26*3</f>
        <v>78</v>
      </c>
      <c r="AA4" s="92">
        <v>3</v>
      </c>
      <c r="AF4" s="44">
        <v>0</v>
      </c>
      <c r="AG4" s="92">
        <v>4</v>
      </c>
      <c r="AL4" s="44"/>
      <c r="AM4" s="90"/>
      <c r="AR4" s="44">
        <f>B4+H4+N4+T4+AL4+AF4+Z4</f>
        <v>465</v>
      </c>
      <c r="AS4" s="90"/>
    </row>
    <row r="5" spans="1:45" x14ac:dyDescent="0.25">
      <c r="A5" s="3" t="s">
        <v>4</v>
      </c>
      <c r="B5" s="44">
        <v>111</v>
      </c>
      <c r="C5" s="92">
        <v>4</v>
      </c>
      <c r="H5" s="44">
        <v>111</v>
      </c>
      <c r="I5" s="92">
        <v>4</v>
      </c>
      <c r="N5" s="45">
        <f>27*5</f>
        <v>135</v>
      </c>
      <c r="O5" s="92">
        <v>5</v>
      </c>
      <c r="P5" s="166"/>
      <c r="T5" s="44">
        <f>26*4-2</f>
        <v>102</v>
      </c>
      <c r="U5" s="92">
        <v>4</v>
      </c>
      <c r="Z5" s="44">
        <f t="shared" ref="Z5:Z6" si="0">26*3</f>
        <v>78</v>
      </c>
      <c r="AA5" s="92">
        <v>3</v>
      </c>
      <c r="AF5" s="44">
        <v>0</v>
      </c>
      <c r="AG5" s="92">
        <v>4</v>
      </c>
      <c r="AL5" s="44"/>
      <c r="AM5" s="90"/>
      <c r="AR5" s="44">
        <f t="shared" ref="AR5:AR16" si="1">B5+H5+N5+T5+AL5+AF5+Z5</f>
        <v>537</v>
      </c>
      <c r="AS5" s="90"/>
    </row>
    <row r="6" spans="1:45" x14ac:dyDescent="0.25">
      <c r="A6" s="3" t="s">
        <v>5</v>
      </c>
      <c r="B6" s="44">
        <v>111</v>
      </c>
      <c r="C6" s="92">
        <v>4</v>
      </c>
      <c r="H6" s="44">
        <v>111</v>
      </c>
      <c r="I6" s="92">
        <v>4</v>
      </c>
      <c r="N6" s="45">
        <f>27*5</f>
        <v>135</v>
      </c>
      <c r="O6" s="92">
        <v>5</v>
      </c>
      <c r="P6" s="166"/>
      <c r="T6" s="44">
        <f>28*4-2</f>
        <v>110</v>
      </c>
      <c r="U6" s="92">
        <v>4</v>
      </c>
      <c r="V6" s="166"/>
      <c r="Z6" s="44">
        <f t="shared" si="0"/>
        <v>78</v>
      </c>
      <c r="AA6" s="92">
        <v>3</v>
      </c>
      <c r="AB6" s="166"/>
      <c r="AF6" s="44">
        <v>0</v>
      </c>
      <c r="AG6" s="92">
        <v>4</v>
      </c>
      <c r="AH6" s="166"/>
      <c r="AL6" s="44"/>
      <c r="AM6" s="90"/>
      <c r="AR6" s="44">
        <f t="shared" si="1"/>
        <v>545</v>
      </c>
      <c r="AS6" s="90"/>
    </row>
    <row r="7" spans="1:45" x14ac:dyDescent="0.25">
      <c r="A7" s="5" t="s">
        <v>6</v>
      </c>
      <c r="B7" s="44">
        <v>111</v>
      </c>
      <c r="C7" s="92">
        <v>4</v>
      </c>
      <c r="H7" s="44">
        <v>111</v>
      </c>
      <c r="I7" s="92">
        <v>4</v>
      </c>
      <c r="N7" s="45">
        <f>28*5</f>
        <v>140</v>
      </c>
      <c r="O7" s="92">
        <v>5</v>
      </c>
      <c r="P7" s="166"/>
      <c r="T7" s="44">
        <v>82</v>
      </c>
      <c r="U7" s="92">
        <v>3</v>
      </c>
      <c r="V7" s="166"/>
      <c r="Z7" s="44">
        <f>27*3</f>
        <v>81</v>
      </c>
      <c r="AA7" s="92">
        <v>3</v>
      </c>
      <c r="AB7" s="166"/>
      <c r="AF7" s="44">
        <v>0</v>
      </c>
      <c r="AG7" s="92">
        <v>4</v>
      </c>
      <c r="AH7" s="166"/>
      <c r="AL7" s="44"/>
      <c r="AM7" s="90"/>
      <c r="AR7" s="44">
        <f t="shared" si="1"/>
        <v>525</v>
      </c>
      <c r="AS7" s="90"/>
    </row>
    <row r="8" spans="1:45" x14ac:dyDescent="0.25">
      <c r="A8" s="5" t="s">
        <v>7</v>
      </c>
      <c r="B8" s="44">
        <v>111</v>
      </c>
      <c r="C8" s="92">
        <v>4</v>
      </c>
      <c r="H8" s="44">
        <v>111</v>
      </c>
      <c r="I8" s="92">
        <v>4</v>
      </c>
      <c r="N8" s="45">
        <f>28*5</f>
        <v>140</v>
      </c>
      <c r="O8" s="92">
        <v>5</v>
      </c>
      <c r="P8" s="166"/>
      <c r="T8" s="44">
        <v>82</v>
      </c>
      <c r="U8" s="92">
        <v>3</v>
      </c>
      <c r="V8" s="166"/>
      <c r="Z8" s="44">
        <f>26*1</f>
        <v>26</v>
      </c>
      <c r="AA8" s="92">
        <v>1</v>
      </c>
      <c r="AB8" s="166"/>
      <c r="AF8" s="44">
        <v>0</v>
      </c>
      <c r="AG8" s="92">
        <v>4</v>
      </c>
      <c r="AH8" s="166"/>
      <c r="AL8" s="44"/>
      <c r="AM8" s="90"/>
      <c r="AR8" s="44">
        <f t="shared" si="1"/>
        <v>470</v>
      </c>
      <c r="AS8" s="90"/>
    </row>
    <row r="9" spans="1:45" x14ac:dyDescent="0.25">
      <c r="A9" s="5" t="s">
        <v>8</v>
      </c>
      <c r="B9" s="44">
        <v>110</v>
      </c>
      <c r="C9" s="92">
        <v>4</v>
      </c>
      <c r="H9" s="44">
        <v>110</v>
      </c>
      <c r="I9" s="92">
        <v>4</v>
      </c>
      <c r="N9" s="45">
        <f>28*5</f>
        <v>140</v>
      </c>
      <c r="O9" s="92">
        <v>5</v>
      </c>
      <c r="P9" s="166"/>
      <c r="T9" s="44">
        <v>82</v>
      </c>
      <c r="U9" s="92">
        <v>3</v>
      </c>
      <c r="V9" s="166"/>
      <c r="Z9" s="44">
        <f>26*1</f>
        <v>26</v>
      </c>
      <c r="AA9" s="92">
        <v>1</v>
      </c>
      <c r="AB9" s="166"/>
      <c r="AF9" s="44">
        <v>0</v>
      </c>
      <c r="AG9" s="92">
        <v>3</v>
      </c>
      <c r="AH9" s="166"/>
      <c r="AL9" s="44"/>
      <c r="AM9" s="90"/>
      <c r="AR9" s="44">
        <f t="shared" si="1"/>
        <v>468</v>
      </c>
      <c r="AS9" s="90"/>
    </row>
    <row r="10" spans="1:45" x14ac:dyDescent="0.25">
      <c r="A10" s="5" t="s">
        <v>9</v>
      </c>
      <c r="B10" s="44">
        <v>124</v>
      </c>
      <c r="C10" s="92">
        <v>4</v>
      </c>
      <c r="H10" s="44">
        <v>124</v>
      </c>
      <c r="I10" s="92">
        <v>4</v>
      </c>
      <c r="N10" s="45">
        <f>32*5</f>
        <v>160</v>
      </c>
      <c r="O10" s="92">
        <v>5</v>
      </c>
      <c r="P10" s="166"/>
      <c r="T10" s="44">
        <v>0</v>
      </c>
      <c r="U10" s="92"/>
      <c r="Z10" s="44">
        <f>31*2</f>
        <v>62</v>
      </c>
      <c r="AA10" s="92">
        <v>2</v>
      </c>
      <c r="AF10" s="44">
        <v>0</v>
      </c>
      <c r="AG10" s="92">
        <v>5</v>
      </c>
      <c r="AL10" s="44"/>
      <c r="AM10" s="90"/>
      <c r="AR10" s="44">
        <f t="shared" si="1"/>
        <v>470</v>
      </c>
      <c r="AS10" s="90"/>
    </row>
    <row r="11" spans="1:45" x14ac:dyDescent="0.25">
      <c r="A11" s="5" t="s">
        <v>10</v>
      </c>
      <c r="B11" s="44">
        <v>124</v>
      </c>
      <c r="C11" s="92">
        <v>4</v>
      </c>
      <c r="H11" s="44">
        <v>124</v>
      </c>
      <c r="I11" s="92">
        <v>4</v>
      </c>
      <c r="N11" s="45">
        <f>32*5</f>
        <v>160</v>
      </c>
      <c r="O11" s="92">
        <v>5</v>
      </c>
      <c r="P11" s="166"/>
      <c r="T11" s="44">
        <v>0</v>
      </c>
      <c r="U11" s="92"/>
      <c r="Z11" s="44">
        <v>0</v>
      </c>
      <c r="AA11" s="92"/>
      <c r="AF11" s="44">
        <v>0</v>
      </c>
      <c r="AG11" s="92"/>
      <c r="AL11" s="44"/>
      <c r="AM11" s="90"/>
      <c r="AR11" s="44">
        <f t="shared" si="1"/>
        <v>408</v>
      </c>
      <c r="AS11" s="90"/>
    </row>
    <row r="12" spans="1:45" x14ac:dyDescent="0.25">
      <c r="A12" s="5" t="s">
        <v>11</v>
      </c>
      <c r="B12" s="44">
        <v>122</v>
      </c>
      <c r="C12" s="92">
        <v>4</v>
      </c>
      <c r="H12" s="44">
        <v>122</v>
      </c>
      <c r="I12" s="92">
        <v>4</v>
      </c>
      <c r="N12" s="45">
        <f>32*5</f>
        <v>160</v>
      </c>
      <c r="O12" s="92">
        <v>5</v>
      </c>
      <c r="P12" s="166"/>
      <c r="T12" s="44">
        <v>0</v>
      </c>
      <c r="U12" s="92"/>
      <c r="Z12" s="44">
        <v>0</v>
      </c>
      <c r="AA12" s="92"/>
      <c r="AF12" s="44">
        <v>0</v>
      </c>
      <c r="AG12" s="92"/>
      <c r="AL12" s="44"/>
      <c r="AM12" s="90"/>
      <c r="AR12" s="44">
        <f t="shared" si="1"/>
        <v>404</v>
      </c>
      <c r="AS12" s="90"/>
    </row>
    <row r="13" spans="1:45" x14ac:dyDescent="0.25">
      <c r="A13" s="5" t="s">
        <v>12</v>
      </c>
      <c r="B13" s="45">
        <v>0</v>
      </c>
      <c r="C13" s="92"/>
      <c r="H13" s="45">
        <v>0</v>
      </c>
      <c r="I13" s="92"/>
      <c r="N13" s="45">
        <f>32*10</f>
        <v>320</v>
      </c>
      <c r="O13" s="92">
        <v>10</v>
      </c>
      <c r="P13" s="166"/>
      <c r="T13" s="45">
        <v>0</v>
      </c>
      <c r="U13" s="92"/>
      <c r="Z13" s="45">
        <v>0</v>
      </c>
      <c r="AA13" s="92"/>
      <c r="AF13" s="45">
        <v>0</v>
      </c>
      <c r="AG13" s="92"/>
      <c r="AL13" s="45"/>
      <c r="AM13" s="90"/>
      <c r="AR13" s="44">
        <f t="shared" si="1"/>
        <v>320</v>
      </c>
      <c r="AS13" s="90"/>
    </row>
    <row r="14" spans="1:45" x14ac:dyDescent="0.25">
      <c r="A14" s="5" t="s">
        <v>13</v>
      </c>
      <c r="B14" s="45">
        <v>0</v>
      </c>
      <c r="C14" s="92"/>
      <c r="H14" s="45">
        <v>0</v>
      </c>
      <c r="I14" s="92"/>
      <c r="N14" s="45">
        <v>315</v>
      </c>
      <c r="O14" s="92">
        <v>10</v>
      </c>
      <c r="P14" s="166"/>
      <c r="T14" s="45">
        <v>0</v>
      </c>
      <c r="U14" s="92"/>
      <c r="Z14" s="45">
        <v>0</v>
      </c>
      <c r="AA14" s="92"/>
      <c r="AF14" s="45">
        <v>0</v>
      </c>
      <c r="AG14" s="92"/>
      <c r="AL14" s="45">
        <v>0</v>
      </c>
      <c r="AM14" s="90"/>
      <c r="AR14" s="44">
        <f t="shared" si="1"/>
        <v>315</v>
      </c>
      <c r="AS14" s="90"/>
    </row>
    <row r="15" spans="1:45" x14ac:dyDescent="0.25">
      <c r="A15" s="5" t="s">
        <v>14</v>
      </c>
      <c r="B15" s="45">
        <v>0</v>
      </c>
      <c r="C15" s="92"/>
      <c r="H15" s="45">
        <v>0</v>
      </c>
      <c r="I15" s="92"/>
      <c r="N15" s="45">
        <v>285</v>
      </c>
      <c r="O15" s="92">
        <v>9</v>
      </c>
      <c r="P15" s="166"/>
      <c r="T15" s="45">
        <v>0</v>
      </c>
      <c r="U15" s="92"/>
      <c r="Z15" s="45">
        <v>0</v>
      </c>
      <c r="AA15" s="92"/>
      <c r="AF15" s="45">
        <v>0</v>
      </c>
      <c r="AG15" s="92"/>
      <c r="AL15" s="45">
        <v>0</v>
      </c>
      <c r="AM15" s="90"/>
      <c r="AR15" s="44">
        <f t="shared" si="1"/>
        <v>285</v>
      </c>
      <c r="AS15" s="90"/>
    </row>
    <row r="16" spans="1:45" x14ac:dyDescent="0.25">
      <c r="A16" s="5" t="s">
        <v>15</v>
      </c>
      <c r="B16" s="45">
        <v>0</v>
      </c>
      <c r="C16" s="92"/>
      <c r="H16" s="45">
        <v>0</v>
      </c>
      <c r="I16" s="92"/>
      <c r="N16" s="45">
        <v>265</v>
      </c>
      <c r="O16" s="92">
        <v>9</v>
      </c>
      <c r="P16" s="166"/>
      <c r="T16" s="45">
        <v>0</v>
      </c>
      <c r="U16" s="92"/>
      <c r="Z16" s="45">
        <v>0</v>
      </c>
      <c r="AA16" s="92"/>
      <c r="AF16" s="45">
        <v>0</v>
      </c>
      <c r="AG16" s="92"/>
      <c r="AL16" s="45">
        <v>0</v>
      </c>
      <c r="AM16" s="90"/>
      <c r="AR16" s="44">
        <f t="shared" si="1"/>
        <v>265</v>
      </c>
      <c r="AS16" s="90"/>
    </row>
    <row r="17" spans="1:48" x14ac:dyDescent="0.25">
      <c r="A17" s="6" t="s">
        <v>2</v>
      </c>
      <c r="B17" s="43">
        <f>SUM(B4:B16)</f>
        <v>1028</v>
      </c>
      <c r="C17" s="92">
        <f>SUM(C4:C16)</f>
        <v>36</v>
      </c>
      <c r="H17" s="43">
        <f>SUM(H4:H16)</f>
        <v>1028</v>
      </c>
      <c r="I17" s="92">
        <f>SUM(I4:I16)</f>
        <v>36</v>
      </c>
      <c r="N17" s="43">
        <f>SUM(N4:N16)</f>
        <v>2459</v>
      </c>
      <c r="O17" s="92">
        <f>SUM(O4:O16)</f>
        <v>82</v>
      </c>
      <c r="P17" s="166"/>
      <c r="T17" s="43">
        <f>SUM(T4:T16)</f>
        <v>533</v>
      </c>
      <c r="U17" s="92">
        <f>SUM(U4:U16)</f>
        <v>20</v>
      </c>
      <c r="Z17" s="43">
        <f>SUM(Z4:Z16)</f>
        <v>429</v>
      </c>
      <c r="AA17" s="92">
        <f>SUM(AA4:AA16)</f>
        <v>16</v>
      </c>
      <c r="AF17" s="43">
        <f>SUM(AF4:AF16)</f>
        <v>0</v>
      </c>
      <c r="AG17" s="92">
        <f>SUM(AG4:AG16)</f>
        <v>28</v>
      </c>
      <c r="AH17" s="151">
        <f>AF17*0.13</f>
        <v>0</v>
      </c>
      <c r="AL17" s="43">
        <f>SUM(AL4:AL16)</f>
        <v>0</v>
      </c>
      <c r="AM17" s="90"/>
      <c r="AR17" s="43">
        <f>SUM(AR4:AR16)</f>
        <v>5477</v>
      </c>
      <c r="AS17" s="90"/>
    </row>
    <row r="20" spans="1:48" x14ac:dyDescent="0.25">
      <c r="A20" s="8" t="s">
        <v>16</v>
      </c>
      <c r="B20" s="46" t="s">
        <v>157</v>
      </c>
      <c r="C20" s="46" t="s">
        <v>158</v>
      </c>
      <c r="D20" s="46" t="s">
        <v>159</v>
      </c>
      <c r="E20" s="46" t="s">
        <v>160</v>
      </c>
      <c r="F20" s="46" t="s">
        <v>226</v>
      </c>
      <c r="H20" s="46" t="s">
        <v>157</v>
      </c>
      <c r="I20" s="46" t="s">
        <v>158</v>
      </c>
      <c r="J20" s="46" t="s">
        <v>159</v>
      </c>
      <c r="K20" s="46" t="s">
        <v>160</v>
      </c>
      <c r="L20" s="46" t="s">
        <v>238</v>
      </c>
      <c r="N20" s="46" t="s">
        <v>157</v>
      </c>
      <c r="O20" s="46" t="s">
        <v>158</v>
      </c>
      <c r="P20" s="46" t="s">
        <v>159</v>
      </c>
      <c r="Q20" s="46" t="s">
        <v>160</v>
      </c>
      <c r="R20" s="46" t="s">
        <v>239</v>
      </c>
      <c r="T20" s="46" t="s">
        <v>157</v>
      </c>
      <c r="U20" s="46" t="s">
        <v>158</v>
      </c>
      <c r="V20" s="46" t="s">
        <v>159</v>
      </c>
      <c r="W20" s="46" t="s">
        <v>160</v>
      </c>
      <c r="X20" s="46" t="s">
        <v>240</v>
      </c>
      <c r="Y20" s="195"/>
      <c r="Z20" s="46" t="s">
        <v>157</v>
      </c>
      <c r="AA20" s="46" t="s">
        <v>158</v>
      </c>
      <c r="AB20" s="46" t="s">
        <v>159</v>
      </c>
      <c r="AC20" s="46" t="s">
        <v>160</v>
      </c>
      <c r="AD20" s="46" t="s">
        <v>323</v>
      </c>
      <c r="AE20" s="195"/>
      <c r="AF20" s="46" t="s">
        <v>157</v>
      </c>
      <c r="AG20" s="46" t="s">
        <v>158</v>
      </c>
      <c r="AH20" s="46" t="s">
        <v>159</v>
      </c>
      <c r="AI20" s="46" t="s">
        <v>160</v>
      </c>
      <c r="AJ20" s="46" t="s">
        <v>298</v>
      </c>
      <c r="AL20" s="46" t="s">
        <v>157</v>
      </c>
      <c r="AM20" s="46" t="s">
        <v>158</v>
      </c>
      <c r="AN20" s="46" t="s">
        <v>159</v>
      </c>
      <c r="AO20" s="46" t="s">
        <v>280</v>
      </c>
      <c r="AP20" s="46" t="s">
        <v>241</v>
      </c>
      <c r="AR20" s="46" t="s">
        <v>157</v>
      </c>
      <c r="AS20" s="46" t="s">
        <v>158</v>
      </c>
      <c r="AT20" s="46" t="s">
        <v>159</v>
      </c>
      <c r="AU20" s="46" t="s">
        <v>160</v>
      </c>
      <c r="AV20" s="46" t="s">
        <v>242</v>
      </c>
    </row>
    <row r="21" spans="1:48" x14ac:dyDescent="0.25">
      <c r="A21" s="5" t="s">
        <v>17</v>
      </c>
      <c r="B21" s="45"/>
      <c r="C21" s="45">
        <v>105</v>
      </c>
      <c r="D21" s="45"/>
      <c r="E21" s="45"/>
      <c r="F21" s="45">
        <f>SUM(B21:E21)</f>
        <v>105</v>
      </c>
      <c r="H21" s="45"/>
      <c r="I21" s="45">
        <v>105</v>
      </c>
      <c r="J21" s="45"/>
      <c r="K21" s="45"/>
      <c r="L21" s="45">
        <f>SUM(H21:K21)</f>
        <v>105</v>
      </c>
      <c r="N21" s="45"/>
      <c r="O21" s="45">
        <v>264</v>
      </c>
      <c r="P21" s="45"/>
      <c r="Q21" s="45"/>
      <c r="R21" s="45">
        <f>SUM(N21:Q21)</f>
        <v>264</v>
      </c>
      <c r="T21" s="45"/>
      <c r="U21" s="45">
        <v>55</v>
      </c>
      <c r="V21" s="45"/>
      <c r="W21" s="45"/>
      <c r="X21" s="45">
        <f>SUM(T21:W21)</f>
        <v>55</v>
      </c>
      <c r="Y21" s="196"/>
      <c r="Z21" s="45"/>
      <c r="AA21" s="45">
        <v>50</v>
      </c>
      <c r="AB21" s="45"/>
      <c r="AC21" s="45"/>
      <c r="AD21" s="45">
        <f>SUM(Z21:AC21)</f>
        <v>50</v>
      </c>
      <c r="AE21" s="196"/>
      <c r="AF21" s="45"/>
      <c r="AG21" s="45">
        <v>0</v>
      </c>
      <c r="AH21" s="45"/>
      <c r="AI21" s="45"/>
      <c r="AJ21" s="45">
        <f>SUM(AF21:AI21)</f>
        <v>0</v>
      </c>
      <c r="AL21" s="47"/>
      <c r="AM21" s="47"/>
      <c r="AN21" s="47"/>
      <c r="AO21" s="45"/>
      <c r="AP21" s="45">
        <f>SUM(AL21:AO21)</f>
        <v>0</v>
      </c>
      <c r="AR21" s="47">
        <f>B21+H21+N21+T21+AL21+AF21+Z21</f>
        <v>0</v>
      </c>
      <c r="AS21" s="47">
        <f t="shared" ref="AS21:AU21" si="2">C21+I21+O21+U21+AM21+AG21+AA21</f>
        <v>579</v>
      </c>
      <c r="AT21" s="47">
        <f t="shared" si="2"/>
        <v>0</v>
      </c>
      <c r="AU21" s="47">
        <f t="shared" si="2"/>
        <v>0</v>
      </c>
      <c r="AV21" s="45">
        <f>SUM(AR21:AU21)</f>
        <v>579</v>
      </c>
    </row>
    <row r="22" spans="1:48" x14ac:dyDescent="0.25">
      <c r="A22" s="5" t="s">
        <v>18</v>
      </c>
      <c r="B22" s="45">
        <v>360</v>
      </c>
      <c r="C22" s="45"/>
      <c r="D22" s="45"/>
      <c r="E22" s="45"/>
      <c r="F22" s="45">
        <f t="shared" ref="F22:F25" si="3">SUM(B22:E22)</f>
        <v>360</v>
      </c>
      <c r="H22" s="45">
        <v>360</v>
      </c>
      <c r="I22" s="45"/>
      <c r="J22" s="45"/>
      <c r="K22" s="45"/>
      <c r="L22" s="45">
        <f t="shared" ref="L22:L25" si="4">SUM(H22:K22)</f>
        <v>360</v>
      </c>
      <c r="N22" s="45">
        <v>730</v>
      </c>
      <c r="O22" s="45"/>
      <c r="P22" s="45"/>
      <c r="Q22" s="45"/>
      <c r="R22" s="45">
        <f t="shared" ref="R22:R25" si="5">SUM(N22:Q22)</f>
        <v>730</v>
      </c>
      <c r="T22" s="45">
        <v>75</v>
      </c>
      <c r="U22" s="45"/>
      <c r="V22" s="45"/>
      <c r="W22" s="45"/>
      <c r="X22" s="45">
        <f t="shared" ref="X22:X25" si="6">SUM(T22:W22)</f>
        <v>75</v>
      </c>
      <c r="Y22" s="196"/>
      <c r="Z22" s="45">
        <v>0</v>
      </c>
      <c r="AA22" s="45"/>
      <c r="AB22" s="45"/>
      <c r="AC22" s="45"/>
      <c r="AD22" s="45">
        <f t="shared" ref="AD22:AD25" si="7">SUM(Z22:AC22)</f>
        <v>0</v>
      </c>
      <c r="AE22" s="196"/>
      <c r="AF22" s="45">
        <v>0</v>
      </c>
      <c r="AG22" s="45"/>
      <c r="AH22" s="45"/>
      <c r="AI22" s="45"/>
      <c r="AJ22" s="45">
        <f t="shared" ref="AJ22:AJ25" si="8">SUM(AF22:AI22)</f>
        <v>0</v>
      </c>
      <c r="AL22" s="47"/>
      <c r="AM22" s="47"/>
      <c r="AN22" s="47"/>
      <c r="AO22" s="45"/>
      <c r="AP22" s="45">
        <f t="shared" ref="AP22:AP25" si="9">SUM(AL22:AO22)</f>
        <v>0</v>
      </c>
      <c r="AR22" s="47">
        <f t="shared" ref="AR22:AR24" si="10">B22+H22+N22+T22+AL22+AF22+Z22</f>
        <v>1525</v>
      </c>
      <c r="AS22" s="47">
        <f t="shared" ref="AS22:AS24" si="11">C22+I22+O22+U22+AM22+AG22+AA22</f>
        <v>0</v>
      </c>
      <c r="AT22" s="47">
        <f t="shared" ref="AT22:AT24" si="12">D22+J22+P22+V22+AN22+AH22+AB22</f>
        <v>0</v>
      </c>
      <c r="AU22" s="47">
        <f t="shared" ref="AU22:AU24" si="13">E22+K22+Q22+W22+AO22+AI22+AC22</f>
        <v>0</v>
      </c>
      <c r="AV22" s="45">
        <f t="shared" ref="AV22:AV25" si="14">SUM(AR22:AU22)</f>
        <v>1525</v>
      </c>
    </row>
    <row r="23" spans="1:48" x14ac:dyDescent="0.25">
      <c r="A23" s="5" t="s">
        <v>19</v>
      </c>
      <c r="B23" s="47">
        <v>0</v>
      </c>
      <c r="C23" s="47"/>
      <c r="D23" s="47"/>
      <c r="E23" s="47"/>
      <c r="F23" s="45">
        <f t="shared" si="3"/>
        <v>0</v>
      </c>
      <c r="H23" s="47">
        <v>0</v>
      </c>
      <c r="I23" s="47"/>
      <c r="J23" s="47"/>
      <c r="K23" s="47"/>
      <c r="L23" s="45">
        <f t="shared" si="4"/>
        <v>0</v>
      </c>
      <c r="N23" s="47">
        <v>0</v>
      </c>
      <c r="O23" s="47"/>
      <c r="P23" s="47"/>
      <c r="Q23" s="47"/>
      <c r="R23" s="45">
        <f t="shared" si="5"/>
        <v>0</v>
      </c>
      <c r="T23" s="47">
        <v>0</v>
      </c>
      <c r="U23" s="47"/>
      <c r="V23" s="47"/>
      <c r="W23" s="47"/>
      <c r="X23" s="45">
        <f t="shared" si="6"/>
        <v>0</v>
      </c>
      <c r="Y23" s="196"/>
      <c r="Z23" s="47">
        <v>0</v>
      </c>
      <c r="AA23" s="47"/>
      <c r="AB23" s="47"/>
      <c r="AC23" s="47"/>
      <c r="AD23" s="45">
        <f t="shared" si="7"/>
        <v>0</v>
      </c>
      <c r="AE23" s="196"/>
      <c r="AF23" s="47">
        <v>0</v>
      </c>
      <c r="AG23" s="47"/>
      <c r="AH23" s="47"/>
      <c r="AI23" s="47"/>
      <c r="AJ23" s="45">
        <f t="shared" si="8"/>
        <v>0</v>
      </c>
      <c r="AL23" s="47"/>
      <c r="AM23" s="47"/>
      <c r="AN23" s="47"/>
      <c r="AO23" s="47"/>
      <c r="AP23" s="45">
        <f t="shared" si="9"/>
        <v>0</v>
      </c>
      <c r="AR23" s="47">
        <f t="shared" si="10"/>
        <v>0</v>
      </c>
      <c r="AS23" s="47">
        <f t="shared" si="11"/>
        <v>0</v>
      </c>
      <c r="AT23" s="47">
        <f t="shared" si="12"/>
        <v>0</v>
      </c>
      <c r="AU23" s="47">
        <f t="shared" si="13"/>
        <v>0</v>
      </c>
      <c r="AV23" s="45">
        <f t="shared" si="14"/>
        <v>0</v>
      </c>
    </row>
    <row r="24" spans="1:48" x14ac:dyDescent="0.25">
      <c r="A24" s="5" t="s">
        <v>20</v>
      </c>
      <c r="B24" s="47">
        <v>0</v>
      </c>
      <c r="C24" s="47"/>
      <c r="D24" s="47"/>
      <c r="E24" s="47"/>
      <c r="F24" s="45">
        <f t="shared" si="3"/>
        <v>0</v>
      </c>
      <c r="H24" s="47">
        <v>0</v>
      </c>
      <c r="I24" s="47"/>
      <c r="J24" s="47"/>
      <c r="K24" s="47"/>
      <c r="L24" s="45">
        <f t="shared" si="4"/>
        <v>0</v>
      </c>
      <c r="N24" s="47">
        <v>5</v>
      </c>
      <c r="O24" s="47"/>
      <c r="P24" s="47"/>
      <c r="Q24" s="47"/>
      <c r="R24" s="45">
        <f t="shared" si="5"/>
        <v>5</v>
      </c>
      <c r="T24" s="47">
        <v>0</v>
      </c>
      <c r="U24" s="47"/>
      <c r="V24" s="47"/>
      <c r="W24" s="47"/>
      <c r="X24" s="45">
        <f t="shared" si="6"/>
        <v>0</v>
      </c>
      <c r="Y24" s="196"/>
      <c r="Z24" s="47">
        <v>0</v>
      </c>
      <c r="AA24" s="47"/>
      <c r="AB24" s="47"/>
      <c r="AC24" s="47"/>
      <c r="AD24" s="45">
        <f t="shared" si="7"/>
        <v>0</v>
      </c>
      <c r="AE24" s="196"/>
      <c r="AF24" s="165">
        <v>0</v>
      </c>
      <c r="AG24" s="47"/>
      <c r="AH24" s="47"/>
      <c r="AI24" s="47"/>
      <c r="AJ24" s="45">
        <f t="shared" si="8"/>
        <v>0</v>
      </c>
      <c r="AL24" s="47"/>
      <c r="AM24" s="47"/>
      <c r="AN24" s="47"/>
      <c r="AO24" s="47"/>
      <c r="AP24" s="45">
        <f t="shared" si="9"/>
        <v>0</v>
      </c>
      <c r="AR24" s="47">
        <f t="shared" si="10"/>
        <v>5</v>
      </c>
      <c r="AS24" s="47">
        <f t="shared" si="11"/>
        <v>0</v>
      </c>
      <c r="AT24" s="47">
        <f t="shared" si="12"/>
        <v>0</v>
      </c>
      <c r="AU24" s="47">
        <f t="shared" si="13"/>
        <v>0</v>
      </c>
      <c r="AV24" s="45">
        <f t="shared" si="14"/>
        <v>5</v>
      </c>
    </row>
    <row r="25" spans="1:48" x14ac:dyDescent="0.25">
      <c r="A25" s="5" t="s">
        <v>21</v>
      </c>
      <c r="B25" s="48"/>
      <c r="C25" s="48"/>
      <c r="D25" s="49">
        <v>1</v>
      </c>
      <c r="E25" s="49"/>
      <c r="F25" s="45">
        <f t="shared" si="3"/>
        <v>1</v>
      </c>
      <c r="H25" s="48"/>
      <c r="I25" s="48"/>
      <c r="J25" s="49">
        <v>1</v>
      </c>
      <c r="K25" s="49"/>
      <c r="L25" s="45">
        <f t="shared" si="4"/>
        <v>1</v>
      </c>
      <c r="N25" s="48"/>
      <c r="O25" s="48"/>
      <c r="P25" s="49">
        <v>1</v>
      </c>
      <c r="Q25" s="49"/>
      <c r="R25" s="45">
        <f t="shared" si="5"/>
        <v>1</v>
      </c>
      <c r="T25" s="48"/>
      <c r="U25" s="48"/>
      <c r="V25" s="49">
        <v>1</v>
      </c>
      <c r="W25" s="49"/>
      <c r="X25" s="45">
        <f t="shared" si="6"/>
        <v>1</v>
      </c>
      <c r="Y25" s="196"/>
      <c r="Z25" s="48"/>
      <c r="AA25" s="48"/>
      <c r="AB25" s="49">
        <v>1</v>
      </c>
      <c r="AC25" s="49"/>
      <c r="AD25" s="45">
        <f t="shared" si="7"/>
        <v>1</v>
      </c>
      <c r="AE25" s="196"/>
      <c r="AF25" s="48"/>
      <c r="AG25" s="48"/>
      <c r="AH25" s="49">
        <v>0</v>
      </c>
      <c r="AI25" s="49"/>
      <c r="AJ25" s="45">
        <f t="shared" si="8"/>
        <v>0</v>
      </c>
      <c r="AL25" s="48"/>
      <c r="AM25" s="48"/>
      <c r="AN25" s="49"/>
      <c r="AO25" s="49"/>
      <c r="AP25" s="45">
        <f t="shared" si="9"/>
        <v>0</v>
      </c>
      <c r="AR25" s="47">
        <f t="shared" ref="AR25" si="15">B25+H25+N25+T25+AL25+AF25</f>
        <v>0</v>
      </c>
      <c r="AS25" s="47">
        <f>C25+I25+O25+U25+AM25+AG25</f>
        <v>0</v>
      </c>
      <c r="AT25" s="48">
        <v>1</v>
      </c>
      <c r="AU25" s="47">
        <f>E25+K25+Q25+W25+AO25+AI25</f>
        <v>0</v>
      </c>
      <c r="AV25" s="45">
        <f t="shared" si="14"/>
        <v>1</v>
      </c>
    </row>
    <row r="26" spans="1:48" x14ac:dyDescent="0.25">
      <c r="A26" s="9" t="s">
        <v>22</v>
      </c>
      <c r="B26" s="46" t="s">
        <v>157</v>
      </c>
      <c r="C26" s="46" t="s">
        <v>158</v>
      </c>
      <c r="D26" s="46" t="s">
        <v>159</v>
      </c>
      <c r="E26" s="46" t="str">
        <f>E20</f>
        <v>Other</v>
      </c>
      <c r="F26" s="46" t="str">
        <f>F20</f>
        <v>FY27- Mtn</v>
      </c>
      <c r="H26" s="46" t="s">
        <v>157</v>
      </c>
      <c r="I26" s="46" t="s">
        <v>158</v>
      </c>
      <c r="J26" s="46" t="s">
        <v>159</v>
      </c>
      <c r="K26" s="46" t="str">
        <f>K20</f>
        <v>Other</v>
      </c>
      <c r="L26" s="46" t="str">
        <f>L20</f>
        <v>FY27- Bon</v>
      </c>
      <c r="N26" s="46" t="s">
        <v>157</v>
      </c>
      <c r="O26" s="46" t="s">
        <v>158</v>
      </c>
      <c r="P26" s="46" t="s">
        <v>159</v>
      </c>
      <c r="Q26" s="46" t="str">
        <f>Q20</f>
        <v>Other</v>
      </c>
      <c r="R26" s="46" t="str">
        <f>R20</f>
        <v>FY27- East</v>
      </c>
      <c r="T26" s="46" t="s">
        <v>157</v>
      </c>
      <c r="U26" s="46" t="s">
        <v>158</v>
      </c>
      <c r="V26" s="46" t="s">
        <v>159</v>
      </c>
      <c r="W26" s="46" t="str">
        <f>W20</f>
        <v>Other</v>
      </c>
      <c r="X26" s="46" t="str">
        <f>X20</f>
        <v>FY27- Cactus</v>
      </c>
      <c r="Y26" s="195"/>
      <c r="Z26" s="46" t="s">
        <v>157</v>
      </c>
      <c r="AA26" s="46" t="s">
        <v>158</v>
      </c>
      <c r="AB26" s="46" t="s">
        <v>159</v>
      </c>
      <c r="AC26" s="46" t="str">
        <f>AC20</f>
        <v>Other</v>
      </c>
      <c r="AD26" s="46" t="str">
        <f>AD20</f>
        <v>FY27- Sahara</v>
      </c>
      <c r="AE26" s="195"/>
      <c r="AF26" s="46" t="s">
        <v>157</v>
      </c>
      <c r="AG26" s="46" t="s">
        <v>158</v>
      </c>
      <c r="AH26" s="46" t="s">
        <v>159</v>
      </c>
      <c r="AI26" s="46" t="str">
        <f>AI20</f>
        <v>Other</v>
      </c>
      <c r="AJ26" s="46" t="str">
        <f>AJ20</f>
        <v>FY27- VV</v>
      </c>
      <c r="AL26" s="46" t="s">
        <v>157</v>
      </c>
      <c r="AM26" s="46" t="s">
        <v>158</v>
      </c>
      <c r="AN26" s="46" t="s">
        <v>159</v>
      </c>
      <c r="AO26" s="46" t="str">
        <f>AO20</f>
        <v>Grant</v>
      </c>
      <c r="AP26" s="46" t="str">
        <f>AP20</f>
        <v>FY27 - Central</v>
      </c>
      <c r="AR26" s="46" t="s">
        <v>157</v>
      </c>
      <c r="AS26" s="46" t="s">
        <v>158</v>
      </c>
      <c r="AT26" s="46" t="s">
        <v>159</v>
      </c>
      <c r="AU26" s="46" t="str">
        <f>AU20</f>
        <v>Other</v>
      </c>
      <c r="AV26" s="46" t="str">
        <f>AV20</f>
        <v>FY27- Sys</v>
      </c>
    </row>
    <row r="27" spans="1:48" x14ac:dyDescent="0.25">
      <c r="A27" s="10" t="s">
        <v>23</v>
      </c>
      <c r="B27" s="50">
        <v>36</v>
      </c>
      <c r="C27" s="50"/>
      <c r="D27" s="50"/>
      <c r="E27" s="50"/>
      <c r="F27" s="50">
        <f>SUM(B27:E27)</f>
        <v>36</v>
      </c>
      <c r="H27" s="50">
        <v>36</v>
      </c>
      <c r="I27" s="50"/>
      <c r="J27" s="50"/>
      <c r="K27" s="50"/>
      <c r="L27" s="50">
        <f>SUM(H27:K27)</f>
        <v>36</v>
      </c>
      <c r="N27" s="51">
        <v>83</v>
      </c>
      <c r="O27" s="50"/>
      <c r="P27" s="50"/>
      <c r="Q27" s="50"/>
      <c r="R27" s="50">
        <f>SUM(N27:Q27)</f>
        <v>83</v>
      </c>
      <c r="T27" s="50">
        <v>20</v>
      </c>
      <c r="U27" s="50"/>
      <c r="V27" s="50"/>
      <c r="W27" s="50"/>
      <c r="X27" s="50">
        <f>SUM(T27:W27)</f>
        <v>20</v>
      </c>
      <c r="Y27" s="193"/>
      <c r="Z27" s="50">
        <v>16</v>
      </c>
      <c r="AA27" s="50"/>
      <c r="AB27" s="50"/>
      <c r="AC27" s="50"/>
      <c r="AD27" s="50">
        <f>SUM(Z27:AC27)</f>
        <v>16</v>
      </c>
      <c r="AE27" s="193"/>
      <c r="AF27" s="50">
        <v>0</v>
      </c>
      <c r="AG27" s="50"/>
      <c r="AH27" s="50"/>
      <c r="AI27" s="50"/>
      <c r="AJ27" s="50">
        <f>SUM(AF27:AI27)</f>
        <v>0</v>
      </c>
      <c r="AK27" s="151">
        <f>AJ27/6</f>
        <v>0</v>
      </c>
      <c r="AL27" s="50"/>
      <c r="AM27" s="50"/>
      <c r="AN27" s="50"/>
      <c r="AO27" s="50"/>
      <c r="AP27" s="50">
        <f>SUM(AL27:AO27)</f>
        <v>0</v>
      </c>
      <c r="AR27" s="50">
        <f>B27+H27+N27+T27+AL27+AF27+Z27</f>
        <v>191</v>
      </c>
      <c r="AS27" s="50">
        <f t="shared" ref="AS27:AU27" si="16">C27+I27+O27+U27+AM27+AG27+AA27</f>
        <v>0</v>
      </c>
      <c r="AT27" s="50">
        <f t="shared" si="16"/>
        <v>0</v>
      </c>
      <c r="AU27" s="50">
        <f t="shared" si="16"/>
        <v>0</v>
      </c>
      <c r="AV27" s="50">
        <f>SUM(AR27:AU27)</f>
        <v>191</v>
      </c>
    </row>
    <row r="28" spans="1:48" x14ac:dyDescent="0.25">
      <c r="A28" s="10" t="s">
        <v>24</v>
      </c>
      <c r="B28" s="51">
        <v>0</v>
      </c>
      <c r="C28" s="51">
        <v>5</v>
      </c>
      <c r="D28" s="51"/>
      <c r="E28" s="51"/>
      <c r="F28" s="50">
        <f t="shared" ref="F28:F35" si="17">SUM(B28:E28)</f>
        <v>5</v>
      </c>
      <c r="H28" s="51">
        <v>0</v>
      </c>
      <c r="I28" s="51">
        <v>4</v>
      </c>
      <c r="J28" s="51"/>
      <c r="K28" s="51"/>
      <c r="L28" s="50">
        <f t="shared" ref="L28:L35" si="18">SUM(H28:K28)</f>
        <v>4</v>
      </c>
      <c r="N28" s="51">
        <v>0</v>
      </c>
      <c r="O28" s="51">
        <v>14</v>
      </c>
      <c r="P28" s="51"/>
      <c r="Q28" s="51"/>
      <c r="R28" s="50">
        <f t="shared" ref="R28:R35" si="19">SUM(N28:Q28)</f>
        <v>14</v>
      </c>
      <c r="T28" s="51">
        <v>0</v>
      </c>
      <c r="U28" s="51">
        <v>3</v>
      </c>
      <c r="V28" s="51"/>
      <c r="W28" s="51"/>
      <c r="X28" s="50">
        <f t="shared" ref="X28:X35" si="20">SUM(T28:W28)</f>
        <v>3</v>
      </c>
      <c r="Y28" s="193"/>
      <c r="Z28" s="51">
        <v>0</v>
      </c>
      <c r="AA28" s="51">
        <v>1.5</v>
      </c>
      <c r="AB28" s="51"/>
      <c r="AC28" s="51"/>
      <c r="AD28" s="50">
        <f t="shared" ref="AD28:AD35" si="21">SUM(Z28:AC28)</f>
        <v>1.5</v>
      </c>
      <c r="AE28" s="193"/>
      <c r="AF28" s="51">
        <v>0</v>
      </c>
      <c r="AG28" s="51">
        <v>0</v>
      </c>
      <c r="AH28" s="51"/>
      <c r="AI28" s="51"/>
      <c r="AJ28" s="50">
        <f t="shared" ref="AJ28:AJ35" si="22">SUM(AF28:AI28)</f>
        <v>0</v>
      </c>
      <c r="AL28" s="51"/>
      <c r="AM28" s="51"/>
      <c r="AN28" s="51"/>
      <c r="AO28" s="51"/>
      <c r="AP28" s="50">
        <f t="shared" ref="AP28:AP35" si="23">SUM(AL28:AO28)</f>
        <v>0</v>
      </c>
      <c r="AR28" s="50">
        <f t="shared" ref="AR28:AR35" si="24">B28+H28+N28+T28+AL28+AF28+Z28</f>
        <v>0</v>
      </c>
      <c r="AS28" s="50">
        <f t="shared" ref="AS28:AS35" si="25">C28+I28+O28+U28+AM28+AG28+AA28</f>
        <v>27.5</v>
      </c>
      <c r="AT28" s="50">
        <f t="shared" ref="AT28:AT35" si="26">D28+J28+P28+V28+AN28+AH28+AB28</f>
        <v>0</v>
      </c>
      <c r="AU28" s="50">
        <f t="shared" ref="AU28:AU35" si="27">E28+K28+Q28+W28+AO28+AI28+AC28</f>
        <v>0</v>
      </c>
      <c r="AV28" s="50">
        <f t="shared" ref="AV28:AV35" si="28">SUM(AR28:AU28)</f>
        <v>27.5</v>
      </c>
    </row>
    <row r="29" spans="1:48" x14ac:dyDescent="0.25">
      <c r="A29" s="10" t="s">
        <v>25</v>
      </c>
      <c r="B29" s="50">
        <v>1</v>
      </c>
      <c r="C29" s="50"/>
      <c r="D29" s="50"/>
      <c r="E29" s="50"/>
      <c r="F29" s="50">
        <f t="shared" si="17"/>
        <v>1</v>
      </c>
      <c r="H29" s="50">
        <v>1</v>
      </c>
      <c r="I29" s="50"/>
      <c r="J29" s="50"/>
      <c r="K29" s="50"/>
      <c r="L29" s="50">
        <f t="shared" si="18"/>
        <v>1</v>
      </c>
      <c r="N29" s="50">
        <v>3</v>
      </c>
      <c r="O29" s="50"/>
      <c r="P29" s="50"/>
      <c r="Q29" s="50"/>
      <c r="R29" s="50">
        <f t="shared" si="19"/>
        <v>3</v>
      </c>
      <c r="T29" s="50">
        <v>1</v>
      </c>
      <c r="U29" s="50"/>
      <c r="V29" s="50"/>
      <c r="W29" s="50"/>
      <c r="X29" s="50">
        <f t="shared" si="20"/>
        <v>1</v>
      </c>
      <c r="Y29" s="193"/>
      <c r="Z29" s="50">
        <v>1</v>
      </c>
      <c r="AA29" s="50"/>
      <c r="AB29" s="50"/>
      <c r="AC29" s="50"/>
      <c r="AD29" s="50">
        <f t="shared" si="21"/>
        <v>1</v>
      </c>
      <c r="AE29" s="193"/>
      <c r="AF29" s="50">
        <v>0</v>
      </c>
      <c r="AG29" s="50">
        <v>0</v>
      </c>
      <c r="AH29" s="50"/>
      <c r="AI29" s="50"/>
      <c r="AJ29" s="50">
        <f t="shared" si="22"/>
        <v>0</v>
      </c>
      <c r="AL29" s="50"/>
      <c r="AM29" s="50"/>
      <c r="AN29" s="50"/>
      <c r="AO29" s="50"/>
      <c r="AP29" s="50">
        <f t="shared" si="23"/>
        <v>0</v>
      </c>
      <c r="AR29" s="50">
        <f t="shared" si="24"/>
        <v>7</v>
      </c>
      <c r="AS29" s="50">
        <f t="shared" si="25"/>
        <v>0</v>
      </c>
      <c r="AT29" s="50">
        <f t="shared" si="26"/>
        <v>0</v>
      </c>
      <c r="AU29" s="50">
        <f t="shared" si="27"/>
        <v>0</v>
      </c>
      <c r="AV29" s="50">
        <f t="shared" si="28"/>
        <v>7</v>
      </c>
    </row>
    <row r="30" spans="1:48" x14ac:dyDescent="0.25">
      <c r="A30" s="10" t="s">
        <v>26</v>
      </c>
      <c r="B30" s="50">
        <v>1</v>
      </c>
      <c r="C30" s="50"/>
      <c r="D30" s="50"/>
      <c r="E30" s="50"/>
      <c r="F30" s="50">
        <f t="shared" si="17"/>
        <v>1</v>
      </c>
      <c r="H30" s="50">
        <v>1</v>
      </c>
      <c r="I30" s="50"/>
      <c r="J30" s="50"/>
      <c r="K30" s="50"/>
      <c r="L30" s="50">
        <f t="shared" si="18"/>
        <v>1</v>
      </c>
      <c r="N30" s="50">
        <v>3</v>
      </c>
      <c r="O30" s="50"/>
      <c r="P30" s="50"/>
      <c r="Q30" s="50"/>
      <c r="R30" s="50">
        <f t="shared" si="19"/>
        <v>3</v>
      </c>
      <c r="T30" s="50">
        <v>1</v>
      </c>
      <c r="U30" s="50"/>
      <c r="V30" s="50"/>
      <c r="W30" s="50"/>
      <c r="X30" s="50">
        <f t="shared" si="20"/>
        <v>1</v>
      </c>
      <c r="Y30" s="193"/>
      <c r="Z30" s="50">
        <v>0.5</v>
      </c>
      <c r="AA30" s="50"/>
      <c r="AB30" s="50"/>
      <c r="AC30" s="50"/>
      <c r="AD30" s="50">
        <f t="shared" si="21"/>
        <v>0.5</v>
      </c>
      <c r="AE30" s="193"/>
      <c r="AF30" s="50">
        <v>0</v>
      </c>
      <c r="AG30" s="50">
        <v>0</v>
      </c>
      <c r="AH30" s="50"/>
      <c r="AI30" s="50"/>
      <c r="AJ30" s="50">
        <f t="shared" si="22"/>
        <v>0</v>
      </c>
      <c r="AL30" s="50"/>
      <c r="AM30" s="50"/>
      <c r="AN30" s="50"/>
      <c r="AO30" s="50"/>
      <c r="AP30" s="50">
        <f t="shared" si="23"/>
        <v>0</v>
      </c>
      <c r="AR30" s="50">
        <f t="shared" si="24"/>
        <v>6.5</v>
      </c>
      <c r="AS30" s="50">
        <f t="shared" si="25"/>
        <v>0</v>
      </c>
      <c r="AT30" s="50">
        <f t="shared" si="26"/>
        <v>0</v>
      </c>
      <c r="AU30" s="50">
        <f t="shared" si="27"/>
        <v>0</v>
      </c>
      <c r="AV30" s="50">
        <f t="shared" si="28"/>
        <v>6.5</v>
      </c>
    </row>
    <row r="31" spans="1:48" x14ac:dyDescent="0.25">
      <c r="A31" s="10" t="s">
        <v>27</v>
      </c>
      <c r="B31" s="50">
        <v>1</v>
      </c>
      <c r="C31" s="50"/>
      <c r="D31" s="50"/>
      <c r="E31" s="50"/>
      <c r="F31" s="50">
        <f t="shared" si="17"/>
        <v>1</v>
      </c>
      <c r="H31" s="50">
        <v>1</v>
      </c>
      <c r="I31" s="50"/>
      <c r="J31" s="50"/>
      <c r="K31" s="50"/>
      <c r="L31" s="50">
        <f t="shared" si="18"/>
        <v>1</v>
      </c>
      <c r="N31" s="50">
        <v>3</v>
      </c>
      <c r="O31" s="50"/>
      <c r="P31" s="50"/>
      <c r="Q31" s="50"/>
      <c r="R31" s="50">
        <f t="shared" si="19"/>
        <v>3</v>
      </c>
      <c r="T31" s="50">
        <v>1</v>
      </c>
      <c r="U31" s="50"/>
      <c r="V31" s="50"/>
      <c r="W31" s="50"/>
      <c r="X31" s="50">
        <f t="shared" si="20"/>
        <v>1</v>
      </c>
      <c r="Y31" s="193"/>
      <c r="Z31" s="50">
        <v>1</v>
      </c>
      <c r="AA31" s="50"/>
      <c r="AB31" s="50"/>
      <c r="AC31" s="50"/>
      <c r="AD31" s="50">
        <f t="shared" si="21"/>
        <v>1</v>
      </c>
      <c r="AE31" s="193"/>
      <c r="AF31" s="50">
        <v>0</v>
      </c>
      <c r="AG31" s="50"/>
      <c r="AH31" s="50"/>
      <c r="AI31" s="50"/>
      <c r="AJ31" s="50">
        <f t="shared" si="22"/>
        <v>0</v>
      </c>
      <c r="AL31" s="50"/>
      <c r="AM31" s="50"/>
      <c r="AN31" s="50"/>
      <c r="AO31" s="50"/>
      <c r="AP31" s="50">
        <f t="shared" si="23"/>
        <v>0</v>
      </c>
      <c r="AR31" s="50">
        <f t="shared" si="24"/>
        <v>7</v>
      </c>
      <c r="AS31" s="50">
        <f t="shared" si="25"/>
        <v>0</v>
      </c>
      <c r="AT31" s="50">
        <f t="shared" si="26"/>
        <v>0</v>
      </c>
      <c r="AU31" s="50">
        <f t="shared" si="27"/>
        <v>0</v>
      </c>
      <c r="AV31" s="50">
        <f t="shared" si="28"/>
        <v>7</v>
      </c>
    </row>
    <row r="32" spans="1:48" x14ac:dyDescent="0.25">
      <c r="A32" s="11" t="s">
        <v>28</v>
      </c>
      <c r="B32" s="50">
        <v>1</v>
      </c>
      <c r="C32" s="50"/>
      <c r="D32" s="50"/>
      <c r="E32" s="50"/>
      <c r="F32" s="50">
        <f t="shared" si="17"/>
        <v>1</v>
      </c>
      <c r="H32" s="50">
        <v>1</v>
      </c>
      <c r="I32" s="50"/>
      <c r="J32" s="50"/>
      <c r="K32" s="50"/>
      <c r="L32" s="50">
        <f t="shared" si="18"/>
        <v>1</v>
      </c>
      <c r="N32" s="50">
        <v>2</v>
      </c>
      <c r="O32" s="50"/>
      <c r="P32" s="50"/>
      <c r="Q32" s="50"/>
      <c r="R32" s="50">
        <f t="shared" si="19"/>
        <v>2</v>
      </c>
      <c r="T32" s="50">
        <v>0</v>
      </c>
      <c r="U32" s="50"/>
      <c r="V32" s="50"/>
      <c r="W32" s="50"/>
      <c r="X32" s="50">
        <f t="shared" si="20"/>
        <v>0</v>
      </c>
      <c r="Y32" s="193"/>
      <c r="Z32" s="50">
        <v>0</v>
      </c>
      <c r="AA32" s="50"/>
      <c r="AB32" s="50"/>
      <c r="AC32" s="50"/>
      <c r="AD32" s="50">
        <f t="shared" si="21"/>
        <v>0</v>
      </c>
      <c r="AE32" s="193"/>
      <c r="AF32" s="50">
        <v>0</v>
      </c>
      <c r="AG32" s="50"/>
      <c r="AH32" s="50"/>
      <c r="AI32" s="50"/>
      <c r="AJ32" s="50">
        <f t="shared" si="22"/>
        <v>0</v>
      </c>
      <c r="AL32" s="50"/>
      <c r="AM32" s="50"/>
      <c r="AN32" s="50"/>
      <c r="AO32" s="50"/>
      <c r="AP32" s="50">
        <f t="shared" si="23"/>
        <v>0</v>
      </c>
      <c r="AR32" s="50">
        <f t="shared" si="24"/>
        <v>4</v>
      </c>
      <c r="AS32" s="50">
        <f t="shared" si="25"/>
        <v>0</v>
      </c>
      <c r="AT32" s="50">
        <f t="shared" si="26"/>
        <v>0</v>
      </c>
      <c r="AU32" s="50">
        <f t="shared" si="27"/>
        <v>0</v>
      </c>
      <c r="AV32" s="50">
        <f t="shared" si="28"/>
        <v>4</v>
      </c>
    </row>
    <row r="33" spans="1:48" x14ac:dyDescent="0.25">
      <c r="A33" s="11" t="s">
        <v>29</v>
      </c>
      <c r="B33" s="50">
        <v>1</v>
      </c>
      <c r="C33" s="50"/>
      <c r="D33" s="50"/>
      <c r="E33" s="50"/>
      <c r="F33" s="50">
        <f t="shared" si="17"/>
        <v>1</v>
      </c>
      <c r="H33" s="50">
        <v>1</v>
      </c>
      <c r="I33" s="50"/>
      <c r="J33" s="50"/>
      <c r="K33" s="50"/>
      <c r="L33" s="50">
        <f t="shared" si="18"/>
        <v>1</v>
      </c>
      <c r="N33" s="50">
        <v>2</v>
      </c>
      <c r="O33" s="50"/>
      <c r="P33" s="50"/>
      <c r="Q33" s="50"/>
      <c r="R33" s="50">
        <f t="shared" si="19"/>
        <v>2</v>
      </c>
      <c r="T33" s="50">
        <v>0</v>
      </c>
      <c r="U33" s="50"/>
      <c r="V33" s="50"/>
      <c r="W33" s="50"/>
      <c r="X33" s="50">
        <f t="shared" si="20"/>
        <v>0</v>
      </c>
      <c r="Y33" s="193"/>
      <c r="Z33" s="50">
        <v>0</v>
      </c>
      <c r="AA33" s="50"/>
      <c r="AB33" s="50"/>
      <c r="AC33" s="50"/>
      <c r="AD33" s="50">
        <f t="shared" si="21"/>
        <v>0</v>
      </c>
      <c r="AE33" s="193"/>
      <c r="AF33" s="50">
        <v>0</v>
      </c>
      <c r="AG33" s="50"/>
      <c r="AH33" s="50"/>
      <c r="AI33" s="50"/>
      <c r="AJ33" s="50">
        <f t="shared" si="22"/>
        <v>0</v>
      </c>
      <c r="AL33" s="50"/>
      <c r="AM33" s="50"/>
      <c r="AN33" s="50"/>
      <c r="AO33" s="50"/>
      <c r="AP33" s="50">
        <f t="shared" si="23"/>
        <v>0</v>
      </c>
      <c r="AR33" s="50">
        <f t="shared" si="24"/>
        <v>4</v>
      </c>
      <c r="AS33" s="50">
        <f t="shared" si="25"/>
        <v>0</v>
      </c>
      <c r="AT33" s="50">
        <f t="shared" si="26"/>
        <v>0</v>
      </c>
      <c r="AU33" s="50">
        <f t="shared" si="27"/>
        <v>0</v>
      </c>
      <c r="AV33" s="50">
        <f t="shared" si="28"/>
        <v>4</v>
      </c>
    </row>
    <row r="34" spans="1:48" x14ac:dyDescent="0.25">
      <c r="A34" s="11" t="s">
        <v>30</v>
      </c>
      <c r="B34" s="50">
        <v>4</v>
      </c>
      <c r="C34" s="50"/>
      <c r="D34" s="50"/>
      <c r="E34" s="50"/>
      <c r="F34" s="50">
        <f t="shared" si="17"/>
        <v>4</v>
      </c>
      <c r="H34" s="50">
        <v>4</v>
      </c>
      <c r="I34" s="50"/>
      <c r="J34" s="50"/>
      <c r="K34" s="50"/>
      <c r="L34" s="50">
        <f t="shared" si="18"/>
        <v>4</v>
      </c>
      <c r="N34" s="50">
        <v>4</v>
      </c>
      <c r="O34" s="50"/>
      <c r="P34" s="50"/>
      <c r="Q34" s="50"/>
      <c r="R34" s="50">
        <f t="shared" si="19"/>
        <v>4</v>
      </c>
      <c r="T34" s="50">
        <v>0</v>
      </c>
      <c r="U34" s="50"/>
      <c r="V34" s="50"/>
      <c r="W34" s="50"/>
      <c r="X34" s="50">
        <f t="shared" si="20"/>
        <v>0</v>
      </c>
      <c r="Y34" s="193"/>
      <c r="Z34" s="50">
        <v>0</v>
      </c>
      <c r="AA34" s="50"/>
      <c r="AB34" s="50"/>
      <c r="AC34" s="50"/>
      <c r="AD34" s="50">
        <f t="shared" si="21"/>
        <v>0</v>
      </c>
      <c r="AE34" s="193"/>
      <c r="AF34" s="50">
        <v>0</v>
      </c>
      <c r="AG34" s="50"/>
      <c r="AH34" s="50"/>
      <c r="AI34" s="50"/>
      <c r="AJ34" s="50">
        <f t="shared" si="22"/>
        <v>0</v>
      </c>
      <c r="AL34" s="50"/>
      <c r="AM34" s="50"/>
      <c r="AN34" s="50"/>
      <c r="AO34" s="50"/>
      <c r="AP34" s="50">
        <f t="shared" si="23"/>
        <v>0</v>
      </c>
      <c r="AR34" s="50">
        <f t="shared" si="24"/>
        <v>12</v>
      </c>
      <c r="AS34" s="50">
        <f t="shared" si="25"/>
        <v>0</v>
      </c>
      <c r="AT34" s="50">
        <f t="shared" si="26"/>
        <v>0</v>
      </c>
      <c r="AU34" s="50">
        <f t="shared" si="27"/>
        <v>0</v>
      </c>
      <c r="AV34" s="50">
        <f t="shared" si="28"/>
        <v>12</v>
      </c>
    </row>
    <row r="35" spans="1:48" x14ac:dyDescent="0.25">
      <c r="A35" s="12" t="s">
        <v>31</v>
      </c>
      <c r="B35" s="50">
        <v>0</v>
      </c>
      <c r="C35" s="50"/>
      <c r="D35" s="50"/>
      <c r="E35" s="50"/>
      <c r="F35" s="50">
        <f t="shared" si="17"/>
        <v>0</v>
      </c>
      <c r="H35" s="50">
        <v>0</v>
      </c>
      <c r="I35" s="50"/>
      <c r="J35" s="50"/>
      <c r="K35" s="50"/>
      <c r="L35" s="50">
        <f t="shared" si="18"/>
        <v>0</v>
      </c>
      <c r="N35" s="50">
        <v>0</v>
      </c>
      <c r="O35" s="50"/>
      <c r="P35" s="50"/>
      <c r="Q35" s="50"/>
      <c r="R35" s="50">
        <f t="shared" si="19"/>
        <v>0</v>
      </c>
      <c r="T35" s="50">
        <v>0</v>
      </c>
      <c r="U35" s="50"/>
      <c r="V35" s="50"/>
      <c r="W35" s="50"/>
      <c r="X35" s="50">
        <f t="shared" si="20"/>
        <v>0</v>
      </c>
      <c r="Y35" s="193"/>
      <c r="Z35" s="50">
        <v>0</v>
      </c>
      <c r="AA35" s="50"/>
      <c r="AB35" s="50"/>
      <c r="AC35" s="50"/>
      <c r="AD35" s="50">
        <f t="shared" si="21"/>
        <v>0</v>
      </c>
      <c r="AE35" s="193"/>
      <c r="AF35" s="50">
        <v>0</v>
      </c>
      <c r="AG35" s="50"/>
      <c r="AH35" s="50"/>
      <c r="AI35" s="50"/>
      <c r="AJ35" s="50">
        <f t="shared" si="22"/>
        <v>0</v>
      </c>
      <c r="AL35" s="50"/>
      <c r="AM35" s="50"/>
      <c r="AN35" s="50"/>
      <c r="AO35" s="50"/>
      <c r="AP35" s="50">
        <f t="shared" si="23"/>
        <v>0</v>
      </c>
      <c r="AR35" s="50">
        <f t="shared" si="24"/>
        <v>0</v>
      </c>
      <c r="AS35" s="50">
        <f t="shared" si="25"/>
        <v>0</v>
      </c>
      <c r="AT35" s="50">
        <f t="shared" si="26"/>
        <v>0</v>
      </c>
      <c r="AU35" s="50">
        <f t="shared" si="27"/>
        <v>0</v>
      </c>
      <c r="AV35" s="50">
        <f t="shared" si="28"/>
        <v>0</v>
      </c>
    </row>
    <row r="36" spans="1:48" x14ac:dyDescent="0.25">
      <c r="A36" s="9" t="s">
        <v>32</v>
      </c>
      <c r="B36" s="52">
        <f>SUM(B27:B35)</f>
        <v>45</v>
      </c>
      <c r="C36" s="52">
        <f t="shared" ref="C36:F36" si="29">SUM(C27:C35)</f>
        <v>5</v>
      </c>
      <c r="D36" s="52">
        <f t="shared" si="29"/>
        <v>0</v>
      </c>
      <c r="E36" s="52">
        <f t="shared" si="29"/>
        <v>0</v>
      </c>
      <c r="F36" s="52">
        <f t="shared" si="29"/>
        <v>50</v>
      </c>
      <c r="H36" s="52">
        <f>SUM(H27:H35)</f>
        <v>45</v>
      </c>
      <c r="I36" s="52">
        <f t="shared" ref="I36:L36" si="30">SUM(I27:I35)</f>
        <v>4</v>
      </c>
      <c r="J36" s="52">
        <f t="shared" si="30"/>
        <v>0</v>
      </c>
      <c r="K36" s="52">
        <f t="shared" si="30"/>
        <v>0</v>
      </c>
      <c r="L36" s="52">
        <f t="shared" si="30"/>
        <v>49</v>
      </c>
      <c r="N36" s="52">
        <f>SUM(N27:N35)</f>
        <v>100</v>
      </c>
      <c r="O36" s="52">
        <f t="shared" ref="O36:R36" si="31">SUM(O27:O35)</f>
        <v>14</v>
      </c>
      <c r="P36" s="52">
        <f t="shared" si="31"/>
        <v>0</v>
      </c>
      <c r="Q36" s="52">
        <f t="shared" si="31"/>
        <v>0</v>
      </c>
      <c r="R36" s="52">
        <f t="shared" si="31"/>
        <v>114</v>
      </c>
      <c r="T36" s="52">
        <f t="shared" ref="T36:X36" si="32">SUM(T27:T35)</f>
        <v>23</v>
      </c>
      <c r="U36" s="52">
        <f t="shared" si="32"/>
        <v>3</v>
      </c>
      <c r="V36" s="52">
        <f t="shared" si="32"/>
        <v>0</v>
      </c>
      <c r="W36" s="52">
        <f t="shared" si="32"/>
        <v>0</v>
      </c>
      <c r="X36" s="52">
        <f t="shared" si="32"/>
        <v>26</v>
      </c>
      <c r="Y36" s="197"/>
      <c r="Z36" s="52">
        <f t="shared" ref="Z36:AD36" si="33">SUM(Z27:Z35)</f>
        <v>18.5</v>
      </c>
      <c r="AA36" s="52">
        <f t="shared" si="33"/>
        <v>1.5</v>
      </c>
      <c r="AB36" s="52">
        <f t="shared" si="33"/>
        <v>0</v>
      </c>
      <c r="AC36" s="52">
        <f t="shared" si="33"/>
        <v>0</v>
      </c>
      <c r="AD36" s="52">
        <f t="shared" si="33"/>
        <v>20</v>
      </c>
      <c r="AE36" s="197"/>
      <c r="AF36" s="52">
        <f t="shared" ref="AF36:AJ36" si="34">SUM(AF27:AF35)</f>
        <v>0</v>
      </c>
      <c r="AG36" s="52">
        <f t="shared" si="34"/>
        <v>0</v>
      </c>
      <c r="AH36" s="52">
        <f t="shared" si="34"/>
        <v>0</v>
      </c>
      <c r="AI36" s="52">
        <f t="shared" si="34"/>
        <v>0</v>
      </c>
      <c r="AJ36" s="52">
        <f t="shared" si="34"/>
        <v>0</v>
      </c>
      <c r="AL36" s="52">
        <f>SUM(AL27:AL35)</f>
        <v>0</v>
      </c>
      <c r="AM36" s="52">
        <f t="shared" ref="AM36:AP36" si="35">SUM(AM27:AM35)</f>
        <v>0</v>
      </c>
      <c r="AN36" s="52">
        <f t="shared" si="35"/>
        <v>0</v>
      </c>
      <c r="AO36" s="52">
        <f t="shared" si="35"/>
        <v>0</v>
      </c>
      <c r="AP36" s="52">
        <f t="shared" si="35"/>
        <v>0</v>
      </c>
      <c r="AR36" s="52">
        <f>SUM(AR27:AR35)</f>
        <v>231.5</v>
      </c>
      <c r="AS36" s="52">
        <f t="shared" ref="AS36:AV36" si="36">SUM(AS27:AS35)</f>
        <v>27.5</v>
      </c>
      <c r="AT36" s="52">
        <f t="shared" si="36"/>
        <v>0</v>
      </c>
      <c r="AU36" s="52">
        <f t="shared" si="36"/>
        <v>0</v>
      </c>
      <c r="AV36" s="52">
        <f t="shared" si="36"/>
        <v>259</v>
      </c>
    </row>
    <row r="37" spans="1:48" x14ac:dyDescent="0.25">
      <c r="A37" s="13"/>
      <c r="B37" s="45"/>
      <c r="C37" s="45"/>
      <c r="D37" s="45"/>
      <c r="E37" s="45"/>
      <c r="F37" s="45"/>
      <c r="H37" s="45"/>
      <c r="I37" s="45"/>
      <c r="J37" s="45"/>
      <c r="K37" s="45"/>
      <c r="L37" s="45"/>
      <c r="N37" s="45"/>
      <c r="O37" s="45"/>
      <c r="P37" s="45"/>
      <c r="Q37" s="45"/>
      <c r="R37" s="45"/>
      <c r="T37" s="45"/>
      <c r="U37" s="45"/>
      <c r="V37" s="45"/>
      <c r="W37" s="45"/>
      <c r="X37" s="45"/>
      <c r="Y37" s="196"/>
      <c r="Z37" s="45"/>
      <c r="AA37" s="45"/>
      <c r="AB37" s="45"/>
      <c r="AC37" s="45"/>
      <c r="AD37" s="45"/>
      <c r="AE37" s="196"/>
      <c r="AF37" s="45"/>
      <c r="AG37" s="45"/>
      <c r="AH37" s="45"/>
      <c r="AI37" s="45"/>
      <c r="AJ37" s="45"/>
      <c r="AL37" s="45"/>
      <c r="AM37" s="45"/>
      <c r="AN37" s="45"/>
      <c r="AO37" s="45"/>
      <c r="AP37" s="45"/>
      <c r="AR37" s="45"/>
      <c r="AS37" s="45"/>
      <c r="AT37" s="45"/>
      <c r="AU37" s="45"/>
      <c r="AV37" s="45"/>
    </row>
    <row r="38" spans="1:48" x14ac:dyDescent="0.25">
      <c r="A38" s="9" t="s">
        <v>33</v>
      </c>
      <c r="B38" s="46" t="s">
        <v>157</v>
      </c>
      <c r="C38" s="46" t="s">
        <v>158</v>
      </c>
      <c r="D38" s="46" t="s">
        <v>159</v>
      </c>
      <c r="E38" s="46" t="str">
        <f>E20</f>
        <v>Other</v>
      </c>
      <c r="F38" s="46" t="str">
        <f>F20</f>
        <v>FY27- Mtn</v>
      </c>
      <c r="H38" s="46" t="s">
        <v>157</v>
      </c>
      <c r="I38" s="46" t="s">
        <v>158</v>
      </c>
      <c r="J38" s="46" t="s">
        <v>159</v>
      </c>
      <c r="K38" s="46" t="str">
        <f>K20</f>
        <v>Other</v>
      </c>
      <c r="L38" s="46" t="str">
        <f>L20</f>
        <v>FY27- Bon</v>
      </c>
      <c r="N38" s="46" t="s">
        <v>157</v>
      </c>
      <c r="O38" s="46" t="s">
        <v>158</v>
      </c>
      <c r="P38" s="46" t="s">
        <v>159</v>
      </c>
      <c r="Q38" s="46" t="str">
        <f>Q20</f>
        <v>Other</v>
      </c>
      <c r="R38" s="46" t="str">
        <f>R20</f>
        <v>FY27- East</v>
      </c>
      <c r="T38" s="46" t="s">
        <v>157</v>
      </c>
      <c r="U38" s="46" t="s">
        <v>158</v>
      </c>
      <c r="V38" s="46" t="s">
        <v>159</v>
      </c>
      <c r="W38" s="46" t="str">
        <f>W20</f>
        <v>Other</v>
      </c>
      <c r="X38" s="46" t="str">
        <f>X20</f>
        <v>FY27- Cactus</v>
      </c>
      <c r="Y38" s="195"/>
      <c r="Z38" s="46" t="s">
        <v>157</v>
      </c>
      <c r="AA38" s="46" t="s">
        <v>158</v>
      </c>
      <c r="AB38" s="46" t="s">
        <v>159</v>
      </c>
      <c r="AC38" s="46" t="str">
        <f>AC20</f>
        <v>Other</v>
      </c>
      <c r="AD38" s="46" t="str">
        <f>AD20</f>
        <v>FY27- Sahara</v>
      </c>
      <c r="AE38" s="195"/>
      <c r="AF38" s="46" t="s">
        <v>157</v>
      </c>
      <c r="AG38" s="46" t="s">
        <v>158</v>
      </c>
      <c r="AH38" s="46" t="s">
        <v>159</v>
      </c>
      <c r="AI38" s="46" t="str">
        <f>AI20</f>
        <v>Other</v>
      </c>
      <c r="AJ38" s="46" t="str">
        <f>AJ20</f>
        <v>FY27- VV</v>
      </c>
      <c r="AL38" s="46" t="s">
        <v>157</v>
      </c>
      <c r="AM38" s="46" t="s">
        <v>158</v>
      </c>
      <c r="AN38" s="46" t="s">
        <v>159</v>
      </c>
      <c r="AO38" s="46" t="str">
        <f>AO20</f>
        <v>Grant</v>
      </c>
      <c r="AP38" s="46" t="str">
        <f>AP20</f>
        <v>FY27 - Central</v>
      </c>
      <c r="AR38" s="46" t="s">
        <v>157</v>
      </c>
      <c r="AS38" s="46" t="s">
        <v>158</v>
      </c>
      <c r="AT38" s="46" t="s">
        <v>159</v>
      </c>
      <c r="AU38" s="46" t="str">
        <f>AU20</f>
        <v>Other</v>
      </c>
      <c r="AV38" s="46" t="str">
        <f>AV20</f>
        <v>FY27- Sys</v>
      </c>
    </row>
    <row r="39" spans="1:48" x14ac:dyDescent="0.25">
      <c r="A39" s="11" t="s">
        <v>34</v>
      </c>
      <c r="B39" s="50">
        <v>1</v>
      </c>
      <c r="C39" s="51"/>
      <c r="D39" s="51"/>
      <c r="E39" s="51"/>
      <c r="F39" s="51">
        <f>SUM(B39:E39)</f>
        <v>1</v>
      </c>
      <c r="H39" s="50">
        <v>1</v>
      </c>
      <c r="I39" s="51"/>
      <c r="J39" s="51"/>
      <c r="K39" s="51"/>
      <c r="L39" s="51">
        <f>SUM(H39:K39)</f>
        <v>1</v>
      </c>
      <c r="N39" s="50">
        <v>1</v>
      </c>
      <c r="O39" s="51"/>
      <c r="P39" s="51"/>
      <c r="Q39" s="51"/>
      <c r="R39" s="51">
        <f>SUM(N39:Q39)</f>
        <v>1</v>
      </c>
      <c r="T39" s="50">
        <v>1</v>
      </c>
      <c r="U39" s="51"/>
      <c r="V39" s="51"/>
      <c r="W39" s="51"/>
      <c r="X39" s="51">
        <f>SUM(T39:W39)</f>
        <v>1</v>
      </c>
      <c r="Y39" s="193"/>
      <c r="Z39" s="50">
        <v>1</v>
      </c>
      <c r="AA39" s="51"/>
      <c r="AB39" s="51"/>
      <c r="AC39" s="51"/>
      <c r="AD39" s="51">
        <f>SUM(Z39:AC39)</f>
        <v>1</v>
      </c>
      <c r="AE39" s="193"/>
      <c r="AF39" s="50">
        <v>0</v>
      </c>
      <c r="AG39" s="51"/>
      <c r="AH39" s="51"/>
      <c r="AI39" s="51"/>
      <c r="AJ39" s="51">
        <f>SUM(AF39:AI39)</f>
        <v>0</v>
      </c>
      <c r="AL39" s="50"/>
      <c r="AM39" s="51"/>
      <c r="AN39" s="51"/>
      <c r="AO39" s="51"/>
      <c r="AP39" s="51">
        <f>SUM(AL39:AO39)</f>
        <v>0</v>
      </c>
      <c r="AR39" s="50">
        <f>B39+H39+N39+T39+AL39+AF39+Z39</f>
        <v>5</v>
      </c>
      <c r="AS39" s="50">
        <f t="shared" ref="AS39:AU39" si="37">C39+I39+O39+U39+AM39+AG39+AA39</f>
        <v>0</v>
      </c>
      <c r="AT39" s="50">
        <f t="shared" si="37"/>
        <v>0</v>
      </c>
      <c r="AU39" s="50">
        <f t="shared" si="37"/>
        <v>0</v>
      </c>
      <c r="AV39" s="51">
        <f>SUM(AR39:AU39)</f>
        <v>5</v>
      </c>
    </row>
    <row r="40" spans="1:48" x14ac:dyDescent="0.25">
      <c r="A40" s="11" t="s">
        <v>35</v>
      </c>
      <c r="B40" s="50">
        <v>3</v>
      </c>
      <c r="C40" s="51"/>
      <c r="D40" s="51"/>
      <c r="E40" s="51"/>
      <c r="F40" s="51">
        <f t="shared" ref="F40:F60" si="38">SUM(B40:E40)</f>
        <v>3</v>
      </c>
      <c r="H40" s="50">
        <v>4</v>
      </c>
      <c r="I40" s="51"/>
      <c r="J40" s="51"/>
      <c r="K40" s="51"/>
      <c r="L40" s="51">
        <f t="shared" ref="L40:L60" si="39">SUM(H40:K40)</f>
        <v>4</v>
      </c>
      <c r="N40" s="50">
        <v>5</v>
      </c>
      <c r="O40" s="51"/>
      <c r="P40" s="51"/>
      <c r="Q40" s="51"/>
      <c r="R40" s="51">
        <f t="shared" ref="R40:R60" si="40">SUM(N40:Q40)</f>
        <v>5</v>
      </c>
      <c r="T40" s="50">
        <v>0</v>
      </c>
      <c r="U40" s="51"/>
      <c r="V40" s="51"/>
      <c r="W40" s="51"/>
      <c r="X40" s="51">
        <f t="shared" ref="X40:X60" si="41">SUM(T40:W40)</f>
        <v>0</v>
      </c>
      <c r="Y40" s="193"/>
      <c r="Z40" s="50">
        <v>0</v>
      </c>
      <c r="AA40" s="51"/>
      <c r="AB40" s="51"/>
      <c r="AC40" s="51"/>
      <c r="AD40" s="51">
        <f t="shared" ref="AD40:AD60" si="42">SUM(Z40:AC40)</f>
        <v>0</v>
      </c>
      <c r="AE40" s="193"/>
      <c r="AF40" s="50">
        <v>0</v>
      </c>
      <c r="AG40" s="51"/>
      <c r="AH40" s="51"/>
      <c r="AI40" s="51"/>
      <c r="AJ40" s="51">
        <f t="shared" ref="AJ40:AJ60" si="43">SUM(AF40:AI40)</f>
        <v>0</v>
      </c>
      <c r="AL40" s="50"/>
      <c r="AM40" s="51">
        <v>1</v>
      </c>
      <c r="AN40" s="51"/>
      <c r="AO40" s="51"/>
      <c r="AP40" s="51">
        <f t="shared" ref="AP40:AP60" si="44">SUM(AL40:AO40)</f>
        <v>1</v>
      </c>
      <c r="AR40" s="50">
        <f t="shared" ref="AR40:AR60" si="45">B40+H40+N40+T40+AL40+AF40+Z40</f>
        <v>12</v>
      </c>
      <c r="AS40" s="50">
        <f t="shared" ref="AS40:AS60" si="46">C40+I40+O40+U40+AM40+AG40+AA40</f>
        <v>1</v>
      </c>
      <c r="AT40" s="50">
        <f t="shared" ref="AT40:AT60" si="47">D40+J40+P40+V40+AN40+AH40+AB40</f>
        <v>0</v>
      </c>
      <c r="AU40" s="50">
        <f t="shared" ref="AU40:AU60" si="48">E40+K40+Q40+W40+AO40+AI40+AC40</f>
        <v>0</v>
      </c>
      <c r="AV40" s="51">
        <f t="shared" ref="AV40:AV60" si="49">SUM(AR40:AU40)</f>
        <v>13</v>
      </c>
    </row>
    <row r="41" spans="1:48" x14ac:dyDescent="0.25">
      <c r="A41" s="14" t="s">
        <v>36</v>
      </c>
      <c r="B41" s="50">
        <v>1</v>
      </c>
      <c r="C41" s="51"/>
      <c r="D41" s="51"/>
      <c r="E41" s="51"/>
      <c r="F41" s="51">
        <f t="shared" si="38"/>
        <v>1</v>
      </c>
      <c r="H41" s="50">
        <v>1</v>
      </c>
      <c r="I41" s="51"/>
      <c r="J41" s="51"/>
      <c r="K41" s="51"/>
      <c r="L41" s="51">
        <f t="shared" si="39"/>
        <v>1</v>
      </c>
      <c r="N41" s="50">
        <v>1</v>
      </c>
      <c r="O41" s="51"/>
      <c r="P41" s="51"/>
      <c r="Q41" s="51"/>
      <c r="R41" s="51">
        <f t="shared" si="40"/>
        <v>1</v>
      </c>
      <c r="T41" s="50"/>
      <c r="U41" s="51"/>
      <c r="V41" s="51"/>
      <c r="W41" s="51"/>
      <c r="X41" s="51">
        <f t="shared" si="41"/>
        <v>0</v>
      </c>
      <c r="Y41" s="193"/>
      <c r="Z41" s="50"/>
      <c r="AA41" s="51"/>
      <c r="AB41" s="51"/>
      <c r="AC41" s="51"/>
      <c r="AD41" s="51">
        <f t="shared" si="42"/>
        <v>0</v>
      </c>
      <c r="AE41" s="193"/>
      <c r="AF41" s="50">
        <v>0</v>
      </c>
      <c r="AG41" s="51"/>
      <c r="AH41" s="51"/>
      <c r="AI41" s="51"/>
      <c r="AJ41" s="51">
        <f t="shared" si="43"/>
        <v>0</v>
      </c>
      <c r="AL41" s="50"/>
      <c r="AM41" s="51"/>
      <c r="AN41" s="51"/>
      <c r="AO41" s="51">
        <v>2</v>
      </c>
      <c r="AP41" s="51">
        <f t="shared" si="44"/>
        <v>2</v>
      </c>
      <c r="AR41" s="50">
        <f t="shared" si="45"/>
        <v>3</v>
      </c>
      <c r="AS41" s="50">
        <f t="shared" si="46"/>
        <v>0</v>
      </c>
      <c r="AT41" s="50">
        <f t="shared" si="47"/>
        <v>0</v>
      </c>
      <c r="AU41" s="50">
        <f t="shared" si="48"/>
        <v>2</v>
      </c>
      <c r="AV41" s="51">
        <f t="shared" si="49"/>
        <v>5</v>
      </c>
    </row>
    <row r="42" spans="1:48" x14ac:dyDescent="0.25">
      <c r="A42" s="11" t="s">
        <v>37</v>
      </c>
      <c r="B42" s="50"/>
      <c r="C42" s="51"/>
      <c r="D42" s="51"/>
      <c r="E42" s="51"/>
      <c r="F42" s="51">
        <f t="shared" si="38"/>
        <v>0</v>
      </c>
      <c r="H42" s="50"/>
      <c r="I42" s="51"/>
      <c r="J42" s="51"/>
      <c r="K42" s="51"/>
      <c r="L42" s="51">
        <f t="shared" si="39"/>
        <v>0</v>
      </c>
      <c r="N42" s="50"/>
      <c r="O42" s="51"/>
      <c r="P42" s="51"/>
      <c r="Q42" s="51"/>
      <c r="R42" s="51">
        <f t="shared" si="40"/>
        <v>0</v>
      </c>
      <c r="T42" s="50">
        <v>0</v>
      </c>
      <c r="U42" s="51"/>
      <c r="V42" s="51"/>
      <c r="W42" s="51"/>
      <c r="X42" s="51">
        <f t="shared" si="41"/>
        <v>0</v>
      </c>
      <c r="Y42" s="193"/>
      <c r="Z42" s="50">
        <v>0</v>
      </c>
      <c r="AA42" s="51"/>
      <c r="AB42" s="51"/>
      <c r="AC42" s="51"/>
      <c r="AD42" s="51">
        <f t="shared" si="42"/>
        <v>0</v>
      </c>
      <c r="AE42" s="193"/>
      <c r="AF42" s="50">
        <v>0</v>
      </c>
      <c r="AG42" s="51"/>
      <c r="AH42" s="51"/>
      <c r="AI42" s="51"/>
      <c r="AJ42" s="51">
        <f t="shared" si="43"/>
        <v>0</v>
      </c>
      <c r="AL42" s="50"/>
      <c r="AM42" s="51"/>
      <c r="AN42" s="51"/>
      <c r="AO42" s="51"/>
      <c r="AP42" s="51">
        <f t="shared" si="44"/>
        <v>0</v>
      </c>
      <c r="AR42" s="50">
        <f t="shared" si="45"/>
        <v>0</v>
      </c>
      <c r="AS42" s="50">
        <f t="shared" si="46"/>
        <v>0</v>
      </c>
      <c r="AT42" s="50">
        <f t="shared" si="47"/>
        <v>0</v>
      </c>
      <c r="AU42" s="50">
        <f t="shared" si="48"/>
        <v>0</v>
      </c>
      <c r="AV42" s="51">
        <f t="shared" si="49"/>
        <v>0</v>
      </c>
    </row>
    <row r="43" spans="1:48" x14ac:dyDescent="0.25">
      <c r="A43" s="11" t="s">
        <v>38</v>
      </c>
      <c r="B43" s="50">
        <v>2</v>
      </c>
      <c r="C43" s="51"/>
      <c r="D43" s="51"/>
      <c r="E43" s="51"/>
      <c r="F43" s="51">
        <f t="shared" si="38"/>
        <v>2</v>
      </c>
      <c r="H43" s="50">
        <v>1.5</v>
      </c>
      <c r="I43" s="51"/>
      <c r="J43" s="51"/>
      <c r="K43" s="51"/>
      <c r="L43" s="51">
        <f t="shared" si="39"/>
        <v>1.5</v>
      </c>
      <c r="N43" s="50">
        <v>4</v>
      </c>
      <c r="O43" s="51"/>
      <c r="P43" s="51"/>
      <c r="Q43" s="51"/>
      <c r="R43" s="51">
        <f t="shared" si="40"/>
        <v>4</v>
      </c>
      <c r="T43" s="50">
        <v>1</v>
      </c>
      <c r="U43" s="51"/>
      <c r="V43" s="51"/>
      <c r="W43" s="51"/>
      <c r="X43" s="51">
        <f t="shared" si="41"/>
        <v>1</v>
      </c>
      <c r="Y43" s="193"/>
      <c r="Z43" s="50">
        <v>1</v>
      </c>
      <c r="AA43" s="51"/>
      <c r="AB43" s="51"/>
      <c r="AC43" s="51"/>
      <c r="AD43" s="51">
        <f t="shared" si="42"/>
        <v>1</v>
      </c>
      <c r="AE43" s="193"/>
      <c r="AF43" s="50">
        <v>0</v>
      </c>
      <c r="AG43" s="51"/>
      <c r="AH43" s="51"/>
      <c r="AI43" s="51"/>
      <c r="AJ43" s="51">
        <f t="shared" si="43"/>
        <v>0</v>
      </c>
      <c r="AL43" s="50"/>
      <c r="AM43" s="51"/>
      <c r="AN43" s="51"/>
      <c r="AO43" s="51">
        <v>3</v>
      </c>
      <c r="AP43" s="51">
        <f t="shared" si="44"/>
        <v>3</v>
      </c>
      <c r="AR43" s="50">
        <f t="shared" si="45"/>
        <v>9.5</v>
      </c>
      <c r="AS43" s="50">
        <f t="shared" si="46"/>
        <v>0</v>
      </c>
      <c r="AT43" s="50">
        <f t="shared" si="47"/>
        <v>0</v>
      </c>
      <c r="AU43" s="50">
        <f t="shared" si="48"/>
        <v>3</v>
      </c>
      <c r="AV43" s="51">
        <f t="shared" si="49"/>
        <v>12.5</v>
      </c>
    </row>
    <row r="44" spans="1:48" x14ac:dyDescent="0.25">
      <c r="A44" s="11" t="s">
        <v>39</v>
      </c>
      <c r="B44" s="50">
        <v>2</v>
      </c>
      <c r="C44" s="51"/>
      <c r="D44" s="51"/>
      <c r="E44" s="51"/>
      <c r="F44" s="51">
        <f t="shared" si="38"/>
        <v>2</v>
      </c>
      <c r="H44" s="50">
        <v>2</v>
      </c>
      <c r="I44" s="51"/>
      <c r="J44" s="51"/>
      <c r="K44" s="51"/>
      <c r="L44" s="51">
        <f t="shared" si="39"/>
        <v>2</v>
      </c>
      <c r="N44" s="50">
        <v>5</v>
      </c>
      <c r="O44" s="51"/>
      <c r="P44" s="51"/>
      <c r="Q44" s="51"/>
      <c r="R44" s="51">
        <f t="shared" si="40"/>
        <v>5</v>
      </c>
      <c r="T44" s="50"/>
      <c r="U44" s="51"/>
      <c r="V44" s="51"/>
      <c r="W44" s="51"/>
      <c r="X44" s="51">
        <f t="shared" si="41"/>
        <v>0</v>
      </c>
      <c r="Y44" s="193"/>
      <c r="Z44" s="50"/>
      <c r="AA44" s="51"/>
      <c r="AB44" s="51"/>
      <c r="AC44" s="51"/>
      <c r="AD44" s="51">
        <f t="shared" si="42"/>
        <v>0</v>
      </c>
      <c r="AE44" s="193"/>
      <c r="AF44" s="50">
        <v>0</v>
      </c>
      <c r="AG44" s="51"/>
      <c r="AH44" s="51"/>
      <c r="AI44" s="51"/>
      <c r="AJ44" s="51">
        <f t="shared" si="43"/>
        <v>0</v>
      </c>
      <c r="AL44" s="50"/>
      <c r="AM44" s="51"/>
      <c r="AN44" s="51"/>
      <c r="AO44" s="51">
        <v>2</v>
      </c>
      <c r="AP44" s="51">
        <f t="shared" si="44"/>
        <v>2</v>
      </c>
      <c r="AR44" s="50">
        <f t="shared" si="45"/>
        <v>9</v>
      </c>
      <c r="AS44" s="50">
        <f t="shared" si="46"/>
        <v>0</v>
      </c>
      <c r="AT44" s="50">
        <f t="shared" si="47"/>
        <v>0</v>
      </c>
      <c r="AU44" s="50">
        <f t="shared" si="48"/>
        <v>2</v>
      </c>
      <c r="AV44" s="51">
        <f t="shared" si="49"/>
        <v>11</v>
      </c>
    </row>
    <row r="45" spans="1:48" x14ac:dyDescent="0.25">
      <c r="A45" s="11" t="s">
        <v>40</v>
      </c>
      <c r="B45" s="50">
        <v>2</v>
      </c>
      <c r="C45" s="51"/>
      <c r="D45" s="51"/>
      <c r="E45" s="51"/>
      <c r="F45" s="51">
        <f t="shared" si="38"/>
        <v>2</v>
      </c>
      <c r="H45" s="50">
        <v>1</v>
      </c>
      <c r="I45" s="51"/>
      <c r="J45" s="51"/>
      <c r="K45" s="51"/>
      <c r="L45" s="51">
        <f t="shared" si="39"/>
        <v>1</v>
      </c>
      <c r="N45" s="50"/>
      <c r="O45" s="51"/>
      <c r="P45" s="51"/>
      <c r="Q45" s="51"/>
      <c r="R45" s="51">
        <f t="shared" si="40"/>
        <v>0</v>
      </c>
      <c r="T45" s="50"/>
      <c r="U45" s="51"/>
      <c r="V45" s="51"/>
      <c r="W45" s="51"/>
      <c r="X45" s="51">
        <f t="shared" si="41"/>
        <v>0</v>
      </c>
      <c r="Y45" s="193"/>
      <c r="Z45" s="50"/>
      <c r="AA45" s="51"/>
      <c r="AB45" s="51"/>
      <c r="AC45" s="51"/>
      <c r="AD45" s="51">
        <f t="shared" si="42"/>
        <v>0</v>
      </c>
      <c r="AE45" s="193"/>
      <c r="AF45" s="50">
        <v>0</v>
      </c>
      <c r="AG45" s="51"/>
      <c r="AH45" s="51"/>
      <c r="AI45" s="51"/>
      <c r="AJ45" s="51">
        <f t="shared" si="43"/>
        <v>0</v>
      </c>
      <c r="AL45" s="50">
        <v>1</v>
      </c>
      <c r="AM45" s="51"/>
      <c r="AN45" s="51"/>
      <c r="AO45" s="51"/>
      <c r="AP45" s="51">
        <f t="shared" si="44"/>
        <v>1</v>
      </c>
      <c r="AR45" s="50">
        <f t="shared" si="45"/>
        <v>4</v>
      </c>
      <c r="AS45" s="50">
        <f t="shared" si="46"/>
        <v>0</v>
      </c>
      <c r="AT45" s="50">
        <f t="shared" si="47"/>
        <v>0</v>
      </c>
      <c r="AU45" s="50">
        <f t="shared" si="48"/>
        <v>0</v>
      </c>
      <c r="AV45" s="51">
        <f t="shared" si="49"/>
        <v>4</v>
      </c>
    </row>
    <row r="46" spans="1:48" x14ac:dyDescent="0.25">
      <c r="A46" s="11" t="s">
        <v>41</v>
      </c>
      <c r="B46" s="50">
        <v>2</v>
      </c>
      <c r="C46" s="51"/>
      <c r="D46" s="51"/>
      <c r="E46" s="51"/>
      <c r="F46" s="51">
        <f t="shared" si="38"/>
        <v>2</v>
      </c>
      <c r="H46" s="50">
        <v>2</v>
      </c>
      <c r="I46" s="51"/>
      <c r="J46" s="51"/>
      <c r="K46" s="51"/>
      <c r="L46" s="51">
        <f t="shared" si="39"/>
        <v>2</v>
      </c>
      <c r="N46" s="50">
        <v>3</v>
      </c>
      <c r="O46" s="51"/>
      <c r="P46" s="51"/>
      <c r="Q46" s="51"/>
      <c r="R46" s="51">
        <f t="shared" si="40"/>
        <v>3</v>
      </c>
      <c r="T46" s="50">
        <v>1</v>
      </c>
      <c r="U46" s="51"/>
      <c r="V46" s="51"/>
      <c r="W46" s="51"/>
      <c r="X46" s="51">
        <f t="shared" si="41"/>
        <v>1</v>
      </c>
      <c r="Y46" s="193"/>
      <c r="Z46" s="50">
        <v>1</v>
      </c>
      <c r="AA46" s="51"/>
      <c r="AB46" s="51"/>
      <c r="AC46" s="51"/>
      <c r="AD46" s="51">
        <f t="shared" si="42"/>
        <v>1</v>
      </c>
      <c r="AE46" s="193"/>
      <c r="AF46" s="50">
        <v>0</v>
      </c>
      <c r="AG46" s="51"/>
      <c r="AH46" s="51"/>
      <c r="AI46" s="51"/>
      <c r="AJ46" s="51">
        <f t="shared" si="43"/>
        <v>0</v>
      </c>
      <c r="AL46" s="50">
        <v>1</v>
      </c>
      <c r="AM46" s="51"/>
      <c r="AN46" s="51"/>
      <c r="AO46" s="51"/>
      <c r="AP46" s="51">
        <f t="shared" si="44"/>
        <v>1</v>
      </c>
      <c r="AR46" s="50">
        <f t="shared" si="45"/>
        <v>10</v>
      </c>
      <c r="AS46" s="50">
        <f t="shared" si="46"/>
        <v>0</v>
      </c>
      <c r="AT46" s="50">
        <f t="shared" si="47"/>
        <v>0</v>
      </c>
      <c r="AU46" s="50">
        <f t="shared" si="48"/>
        <v>0</v>
      </c>
      <c r="AV46" s="51">
        <f t="shared" si="49"/>
        <v>10</v>
      </c>
    </row>
    <row r="47" spans="1:48" x14ac:dyDescent="0.25">
      <c r="A47" s="11" t="s">
        <v>42</v>
      </c>
      <c r="B47" s="50">
        <v>1</v>
      </c>
      <c r="C47" s="51"/>
      <c r="D47" s="51"/>
      <c r="E47" s="51"/>
      <c r="F47" s="51">
        <f t="shared" si="38"/>
        <v>1</v>
      </c>
      <c r="H47" s="50">
        <v>1</v>
      </c>
      <c r="I47" s="51"/>
      <c r="J47" s="51"/>
      <c r="K47" s="51"/>
      <c r="L47" s="51">
        <f t="shared" si="39"/>
        <v>1</v>
      </c>
      <c r="N47" s="50">
        <v>2</v>
      </c>
      <c r="O47" s="51"/>
      <c r="P47" s="51"/>
      <c r="Q47" s="51"/>
      <c r="R47" s="51">
        <f t="shared" si="40"/>
        <v>2</v>
      </c>
      <c r="T47" s="50">
        <v>0</v>
      </c>
      <c r="U47" s="51"/>
      <c r="V47" s="51"/>
      <c r="W47" s="51"/>
      <c r="X47" s="51">
        <f t="shared" si="41"/>
        <v>0</v>
      </c>
      <c r="Y47" s="193"/>
      <c r="Z47" s="50">
        <v>0</v>
      </c>
      <c r="AA47" s="51"/>
      <c r="AB47" s="51"/>
      <c r="AC47" s="51"/>
      <c r="AD47" s="51">
        <f t="shared" si="42"/>
        <v>0</v>
      </c>
      <c r="AE47" s="193"/>
      <c r="AF47" s="50">
        <v>0</v>
      </c>
      <c r="AG47" s="51"/>
      <c r="AH47" s="51"/>
      <c r="AI47" s="51"/>
      <c r="AJ47" s="51">
        <f t="shared" si="43"/>
        <v>0</v>
      </c>
      <c r="AL47" s="50"/>
      <c r="AM47" s="51"/>
      <c r="AN47" s="51"/>
      <c r="AO47" s="51"/>
      <c r="AP47" s="51">
        <f t="shared" si="44"/>
        <v>0</v>
      </c>
      <c r="AR47" s="50">
        <f t="shared" si="45"/>
        <v>4</v>
      </c>
      <c r="AS47" s="50">
        <f t="shared" si="46"/>
        <v>0</v>
      </c>
      <c r="AT47" s="50">
        <f t="shared" si="47"/>
        <v>0</v>
      </c>
      <c r="AU47" s="50">
        <f t="shared" si="48"/>
        <v>0</v>
      </c>
      <c r="AV47" s="51">
        <f t="shared" si="49"/>
        <v>4</v>
      </c>
    </row>
    <row r="48" spans="1:48" x14ac:dyDescent="0.25">
      <c r="A48" s="11" t="s">
        <v>43</v>
      </c>
      <c r="B48" s="50">
        <v>1</v>
      </c>
      <c r="C48" s="51"/>
      <c r="D48" s="51"/>
      <c r="E48" s="51"/>
      <c r="F48" s="51">
        <f t="shared" si="38"/>
        <v>1</v>
      </c>
      <c r="H48" s="50">
        <v>1</v>
      </c>
      <c r="I48" s="51"/>
      <c r="J48" s="51"/>
      <c r="K48" s="51"/>
      <c r="L48" s="51">
        <f t="shared" si="39"/>
        <v>1</v>
      </c>
      <c r="N48" s="50">
        <v>3</v>
      </c>
      <c r="O48" s="51"/>
      <c r="P48" s="51"/>
      <c r="Q48" s="51"/>
      <c r="R48" s="51">
        <f t="shared" si="40"/>
        <v>3</v>
      </c>
      <c r="T48" s="50"/>
      <c r="U48" s="51"/>
      <c r="V48" s="51"/>
      <c r="W48" s="51"/>
      <c r="X48" s="51">
        <f t="shared" si="41"/>
        <v>0</v>
      </c>
      <c r="Y48" s="193"/>
      <c r="Z48" s="50">
        <v>1</v>
      </c>
      <c r="AA48" s="51"/>
      <c r="AB48" s="51"/>
      <c r="AC48" s="51"/>
      <c r="AD48" s="51">
        <f t="shared" si="42"/>
        <v>1</v>
      </c>
      <c r="AE48" s="193"/>
      <c r="AF48" s="50">
        <v>0</v>
      </c>
      <c r="AG48" s="51"/>
      <c r="AH48" s="51"/>
      <c r="AI48" s="51"/>
      <c r="AJ48" s="51">
        <f t="shared" si="43"/>
        <v>0</v>
      </c>
      <c r="AL48" s="50"/>
      <c r="AM48" s="51"/>
      <c r="AN48" s="51"/>
      <c r="AO48" s="51"/>
      <c r="AP48" s="51">
        <f t="shared" si="44"/>
        <v>0</v>
      </c>
      <c r="AR48" s="50">
        <f t="shared" si="45"/>
        <v>6</v>
      </c>
      <c r="AS48" s="50">
        <f t="shared" si="46"/>
        <v>0</v>
      </c>
      <c r="AT48" s="50">
        <f t="shared" si="47"/>
        <v>0</v>
      </c>
      <c r="AU48" s="50">
        <f t="shared" si="48"/>
        <v>0</v>
      </c>
      <c r="AV48" s="51">
        <f t="shared" si="49"/>
        <v>6</v>
      </c>
    </row>
    <row r="49" spans="1:48" x14ac:dyDescent="0.25">
      <c r="A49" s="11" t="s">
        <v>44</v>
      </c>
      <c r="B49" s="50">
        <v>2</v>
      </c>
      <c r="C49" s="51"/>
      <c r="D49" s="51"/>
      <c r="E49" s="51"/>
      <c r="F49" s="51">
        <f t="shared" si="38"/>
        <v>2</v>
      </c>
      <c r="H49" s="50">
        <v>2</v>
      </c>
      <c r="I49" s="51"/>
      <c r="J49" s="51"/>
      <c r="K49" s="51"/>
      <c r="L49" s="51">
        <f t="shared" si="39"/>
        <v>2</v>
      </c>
      <c r="N49" s="50">
        <v>4</v>
      </c>
      <c r="O49" s="51"/>
      <c r="P49" s="51"/>
      <c r="Q49" s="51"/>
      <c r="R49" s="51">
        <f t="shared" si="40"/>
        <v>4</v>
      </c>
      <c r="T49" s="50">
        <v>1</v>
      </c>
      <c r="U49" s="51"/>
      <c r="V49" s="51"/>
      <c r="W49" s="51"/>
      <c r="X49" s="51">
        <f t="shared" si="41"/>
        <v>1</v>
      </c>
      <c r="Y49" s="193"/>
      <c r="Z49" s="50">
        <v>1</v>
      </c>
      <c r="AA49" s="51"/>
      <c r="AB49" s="51"/>
      <c r="AC49" s="51"/>
      <c r="AD49" s="51">
        <f t="shared" si="42"/>
        <v>1</v>
      </c>
      <c r="AE49" s="193"/>
      <c r="AF49" s="50">
        <v>0</v>
      </c>
      <c r="AG49" s="51"/>
      <c r="AH49" s="51"/>
      <c r="AI49" s="51"/>
      <c r="AJ49" s="51">
        <f t="shared" si="43"/>
        <v>0</v>
      </c>
      <c r="AL49" s="50"/>
      <c r="AM49" s="51"/>
      <c r="AN49" s="51"/>
      <c r="AO49" s="51"/>
      <c r="AP49" s="51">
        <f t="shared" si="44"/>
        <v>0</v>
      </c>
      <c r="AR49" s="50">
        <f t="shared" si="45"/>
        <v>10</v>
      </c>
      <c r="AS49" s="50">
        <f t="shared" si="46"/>
        <v>0</v>
      </c>
      <c r="AT49" s="50">
        <f t="shared" si="47"/>
        <v>0</v>
      </c>
      <c r="AU49" s="50">
        <f t="shared" si="48"/>
        <v>0</v>
      </c>
      <c r="AV49" s="51">
        <f t="shared" si="49"/>
        <v>10</v>
      </c>
    </row>
    <row r="50" spans="1:48" x14ac:dyDescent="0.25">
      <c r="A50" s="11" t="s">
        <v>45</v>
      </c>
      <c r="B50" s="219">
        <v>10</v>
      </c>
      <c r="C50" s="51">
        <v>5</v>
      </c>
      <c r="D50" s="51"/>
      <c r="E50" s="51"/>
      <c r="F50" s="51">
        <f t="shared" si="38"/>
        <v>15</v>
      </c>
      <c r="H50" s="219">
        <v>10</v>
      </c>
      <c r="I50" s="51">
        <v>5.5</v>
      </c>
      <c r="J50" s="51"/>
      <c r="K50" s="51"/>
      <c r="L50" s="51">
        <f t="shared" si="39"/>
        <v>15.5</v>
      </c>
      <c r="N50" s="219">
        <v>12</v>
      </c>
      <c r="O50" s="51">
        <v>14</v>
      </c>
      <c r="P50" s="51"/>
      <c r="Q50" s="51"/>
      <c r="R50" s="51">
        <f t="shared" si="40"/>
        <v>26</v>
      </c>
      <c r="T50" s="51">
        <v>3.5</v>
      </c>
      <c r="U50" s="51">
        <v>3</v>
      </c>
      <c r="V50" s="51"/>
      <c r="W50" s="51"/>
      <c r="X50" s="51">
        <f t="shared" si="41"/>
        <v>6.5</v>
      </c>
      <c r="Y50" s="193"/>
      <c r="Z50" s="51">
        <v>1</v>
      </c>
      <c r="AA50" s="51">
        <v>2</v>
      </c>
      <c r="AB50" s="51">
        <v>0</v>
      </c>
      <c r="AC50" s="51"/>
      <c r="AD50" s="51">
        <f t="shared" si="42"/>
        <v>3</v>
      </c>
      <c r="AE50" s="193"/>
      <c r="AF50" s="50">
        <v>0</v>
      </c>
      <c r="AG50" s="51">
        <v>0</v>
      </c>
      <c r="AH50" s="51">
        <v>0</v>
      </c>
      <c r="AI50" s="51"/>
      <c r="AJ50" s="51">
        <f t="shared" si="43"/>
        <v>0</v>
      </c>
      <c r="AL50" s="51">
        <v>2</v>
      </c>
      <c r="AM50" s="51"/>
      <c r="AN50" s="51"/>
      <c r="AO50" s="51">
        <v>20</v>
      </c>
      <c r="AP50" s="51">
        <f t="shared" si="44"/>
        <v>22</v>
      </c>
      <c r="AR50" s="50">
        <f t="shared" si="45"/>
        <v>38.5</v>
      </c>
      <c r="AS50" s="50">
        <f t="shared" si="46"/>
        <v>29.5</v>
      </c>
      <c r="AT50" s="50">
        <f t="shared" si="47"/>
        <v>0</v>
      </c>
      <c r="AU50" s="50">
        <f t="shared" si="48"/>
        <v>20</v>
      </c>
      <c r="AV50" s="51">
        <f t="shared" si="49"/>
        <v>88</v>
      </c>
    </row>
    <row r="51" spans="1:48" x14ac:dyDescent="0.25">
      <c r="A51" s="11" t="s">
        <v>46</v>
      </c>
      <c r="B51" s="51">
        <v>4</v>
      </c>
      <c r="C51" s="51"/>
      <c r="D51" s="51"/>
      <c r="E51" s="51"/>
      <c r="F51" s="51">
        <f t="shared" si="38"/>
        <v>4</v>
      </c>
      <c r="H51" s="51">
        <v>3</v>
      </c>
      <c r="I51" s="51"/>
      <c r="J51" s="51"/>
      <c r="K51" s="51"/>
      <c r="L51" s="51">
        <f t="shared" si="39"/>
        <v>3</v>
      </c>
      <c r="N51" s="51">
        <v>12</v>
      </c>
      <c r="O51" s="51"/>
      <c r="P51" s="51"/>
      <c r="Q51" s="51"/>
      <c r="R51" s="51">
        <f t="shared" si="40"/>
        <v>12</v>
      </c>
      <c r="T51" s="51">
        <v>1</v>
      </c>
      <c r="U51" s="51"/>
      <c r="V51" s="51"/>
      <c r="W51" s="51"/>
      <c r="X51" s="51">
        <f t="shared" si="41"/>
        <v>1</v>
      </c>
      <c r="Y51" s="193"/>
      <c r="Z51" s="51">
        <v>1</v>
      </c>
      <c r="AA51" s="51"/>
      <c r="AB51" s="51"/>
      <c r="AC51" s="51"/>
      <c r="AD51" s="51">
        <f t="shared" si="42"/>
        <v>1</v>
      </c>
      <c r="AE51" s="193"/>
      <c r="AF51" s="50">
        <v>0</v>
      </c>
      <c r="AG51" s="51"/>
      <c r="AH51" s="51"/>
      <c r="AI51" s="51"/>
      <c r="AJ51" s="51">
        <f t="shared" si="43"/>
        <v>0</v>
      </c>
      <c r="AL51" s="51">
        <v>1</v>
      </c>
      <c r="AM51" s="51"/>
      <c r="AN51" s="51"/>
      <c r="AO51" s="51"/>
      <c r="AP51" s="51">
        <f t="shared" si="44"/>
        <v>1</v>
      </c>
      <c r="AR51" s="50">
        <f t="shared" si="45"/>
        <v>22</v>
      </c>
      <c r="AS51" s="50">
        <f t="shared" si="46"/>
        <v>0</v>
      </c>
      <c r="AT51" s="50">
        <f t="shared" si="47"/>
        <v>0</v>
      </c>
      <c r="AU51" s="50">
        <f t="shared" si="48"/>
        <v>0</v>
      </c>
      <c r="AV51" s="51">
        <f t="shared" si="49"/>
        <v>22</v>
      </c>
    </row>
    <row r="52" spans="1:48" x14ac:dyDescent="0.25">
      <c r="A52" s="11" t="s">
        <v>47</v>
      </c>
      <c r="B52" s="51"/>
      <c r="C52" s="51"/>
      <c r="D52" s="51">
        <v>3</v>
      </c>
      <c r="E52" s="51"/>
      <c r="F52" s="51">
        <f t="shared" si="38"/>
        <v>3</v>
      </c>
      <c r="H52" s="51"/>
      <c r="I52" s="51"/>
      <c r="J52" s="51">
        <v>3</v>
      </c>
      <c r="K52" s="51"/>
      <c r="L52" s="51">
        <f t="shared" si="39"/>
        <v>3</v>
      </c>
      <c r="N52" s="51"/>
      <c r="O52" s="51"/>
      <c r="P52" s="51">
        <v>9</v>
      </c>
      <c r="Q52" s="51"/>
      <c r="R52" s="51">
        <f t="shared" si="40"/>
        <v>9</v>
      </c>
      <c r="T52" s="51"/>
      <c r="U52" s="51"/>
      <c r="V52" s="51"/>
      <c r="W52" s="51"/>
      <c r="X52" s="51">
        <f t="shared" si="41"/>
        <v>0</v>
      </c>
      <c r="Y52" s="193"/>
      <c r="Z52" s="51"/>
      <c r="AA52" s="51"/>
      <c r="AB52" s="51">
        <v>1</v>
      </c>
      <c r="AC52" s="51"/>
      <c r="AD52" s="51">
        <f t="shared" si="42"/>
        <v>1</v>
      </c>
      <c r="AE52" s="193"/>
      <c r="AF52" s="50">
        <v>0</v>
      </c>
      <c r="AG52" s="51"/>
      <c r="AH52" s="51"/>
      <c r="AI52" s="51"/>
      <c r="AJ52" s="51">
        <f t="shared" si="43"/>
        <v>0</v>
      </c>
      <c r="AL52" s="51"/>
      <c r="AM52" s="51"/>
      <c r="AN52" s="51">
        <v>1</v>
      </c>
      <c r="AO52" s="51"/>
      <c r="AP52" s="51">
        <f t="shared" si="44"/>
        <v>1</v>
      </c>
      <c r="AR52" s="50">
        <f t="shared" si="45"/>
        <v>0</v>
      </c>
      <c r="AS52" s="50">
        <f t="shared" si="46"/>
        <v>0</v>
      </c>
      <c r="AT52" s="50">
        <f t="shared" si="47"/>
        <v>17</v>
      </c>
      <c r="AU52" s="50">
        <f t="shared" si="48"/>
        <v>0</v>
      </c>
      <c r="AV52" s="51">
        <f t="shared" si="49"/>
        <v>17</v>
      </c>
    </row>
    <row r="53" spans="1:48" x14ac:dyDescent="0.25">
      <c r="A53" s="11" t="s">
        <v>48</v>
      </c>
      <c r="B53" s="51"/>
      <c r="C53" s="51"/>
      <c r="D53" s="51"/>
      <c r="E53" s="51"/>
      <c r="F53" s="51">
        <f t="shared" si="38"/>
        <v>0</v>
      </c>
      <c r="H53" s="51"/>
      <c r="I53" s="51"/>
      <c r="J53" s="51"/>
      <c r="K53" s="51"/>
      <c r="L53" s="51">
        <f t="shared" si="39"/>
        <v>0</v>
      </c>
      <c r="N53" s="51"/>
      <c r="O53" s="51"/>
      <c r="P53" s="51"/>
      <c r="Q53" s="51"/>
      <c r="R53" s="51">
        <f t="shared" si="40"/>
        <v>0</v>
      </c>
      <c r="T53" s="51"/>
      <c r="U53" s="51"/>
      <c r="V53" s="51"/>
      <c r="W53" s="51"/>
      <c r="X53" s="51">
        <f t="shared" si="41"/>
        <v>0</v>
      </c>
      <c r="Y53" s="193"/>
      <c r="Z53" s="51"/>
      <c r="AA53" s="51"/>
      <c r="AB53" s="51"/>
      <c r="AC53" s="51"/>
      <c r="AD53" s="51">
        <f t="shared" si="42"/>
        <v>0</v>
      </c>
      <c r="AE53" s="193"/>
      <c r="AF53" s="50">
        <v>0</v>
      </c>
      <c r="AG53" s="51"/>
      <c r="AH53" s="51"/>
      <c r="AI53" s="51"/>
      <c r="AJ53" s="51">
        <f t="shared" si="43"/>
        <v>0</v>
      </c>
      <c r="AL53" s="51"/>
      <c r="AM53" s="51"/>
      <c r="AN53" s="51"/>
      <c r="AO53" s="51"/>
      <c r="AP53" s="51">
        <f t="shared" si="44"/>
        <v>0</v>
      </c>
      <c r="AR53" s="50">
        <f t="shared" si="45"/>
        <v>0</v>
      </c>
      <c r="AS53" s="50">
        <f t="shared" si="46"/>
        <v>0</v>
      </c>
      <c r="AT53" s="50">
        <f t="shared" si="47"/>
        <v>0</v>
      </c>
      <c r="AU53" s="50">
        <f t="shared" si="48"/>
        <v>0</v>
      </c>
      <c r="AV53" s="51">
        <f t="shared" si="49"/>
        <v>0</v>
      </c>
    </row>
    <row r="54" spans="1:48" x14ac:dyDescent="0.25">
      <c r="A54" s="14" t="s">
        <v>49</v>
      </c>
      <c r="B54" s="51">
        <v>0.5</v>
      </c>
      <c r="C54" s="51">
        <v>1</v>
      </c>
      <c r="D54" s="51"/>
      <c r="E54" s="51"/>
      <c r="F54" s="51">
        <f t="shared" si="38"/>
        <v>1.5</v>
      </c>
      <c r="H54" s="51"/>
      <c r="I54" s="51">
        <v>1</v>
      </c>
      <c r="J54" s="51"/>
      <c r="K54" s="51"/>
      <c r="L54" s="51">
        <f t="shared" si="39"/>
        <v>1</v>
      </c>
      <c r="N54" s="51"/>
      <c r="O54" s="51">
        <v>1</v>
      </c>
      <c r="P54" s="51"/>
      <c r="Q54" s="51"/>
      <c r="R54" s="51">
        <f t="shared" si="40"/>
        <v>1</v>
      </c>
      <c r="T54" s="51"/>
      <c r="U54" s="51"/>
      <c r="V54" s="51"/>
      <c r="W54" s="51"/>
      <c r="X54" s="51">
        <f t="shared" si="41"/>
        <v>0</v>
      </c>
      <c r="Y54" s="193"/>
      <c r="Z54" s="51"/>
      <c r="AA54" s="51"/>
      <c r="AB54" s="51"/>
      <c r="AC54" s="51"/>
      <c r="AD54" s="51">
        <f t="shared" si="42"/>
        <v>0</v>
      </c>
      <c r="AE54" s="193"/>
      <c r="AF54" s="50">
        <v>0</v>
      </c>
      <c r="AG54" s="51"/>
      <c r="AH54" s="51"/>
      <c r="AI54" s="51"/>
      <c r="AJ54" s="51">
        <f t="shared" si="43"/>
        <v>0</v>
      </c>
      <c r="AL54" s="51"/>
      <c r="AM54" s="51"/>
      <c r="AN54" s="51"/>
      <c r="AO54" s="51"/>
      <c r="AP54" s="51">
        <f t="shared" si="44"/>
        <v>0</v>
      </c>
      <c r="AR54" s="50">
        <f t="shared" si="45"/>
        <v>0.5</v>
      </c>
      <c r="AS54" s="50">
        <f t="shared" si="46"/>
        <v>3</v>
      </c>
      <c r="AT54" s="50">
        <f t="shared" si="47"/>
        <v>0</v>
      </c>
      <c r="AU54" s="50">
        <f t="shared" si="48"/>
        <v>0</v>
      </c>
      <c r="AV54" s="51">
        <f t="shared" si="49"/>
        <v>3.5</v>
      </c>
    </row>
    <row r="55" spans="1:48" x14ac:dyDescent="0.25">
      <c r="A55" s="14" t="s">
        <v>50</v>
      </c>
      <c r="B55" s="51"/>
      <c r="C55" s="51">
        <v>1</v>
      </c>
      <c r="D55" s="51"/>
      <c r="E55" s="51"/>
      <c r="F55" s="51">
        <f t="shared" si="38"/>
        <v>1</v>
      </c>
      <c r="H55" s="51"/>
      <c r="I55" s="51">
        <v>1</v>
      </c>
      <c r="J55" s="51"/>
      <c r="K55" s="51"/>
      <c r="L55" s="51">
        <f t="shared" si="39"/>
        <v>1</v>
      </c>
      <c r="N55" s="51"/>
      <c r="O55" s="51">
        <v>1</v>
      </c>
      <c r="P55" s="51"/>
      <c r="Q55" s="51"/>
      <c r="R55" s="51">
        <f t="shared" si="40"/>
        <v>1</v>
      </c>
      <c r="T55" s="51"/>
      <c r="U55" s="51"/>
      <c r="V55" s="51"/>
      <c r="W55" s="51"/>
      <c r="X55" s="51">
        <f t="shared" si="41"/>
        <v>0</v>
      </c>
      <c r="Y55" s="193"/>
      <c r="Z55" s="51"/>
      <c r="AA55" s="51"/>
      <c r="AB55" s="51"/>
      <c r="AC55" s="51"/>
      <c r="AD55" s="51">
        <f t="shared" si="42"/>
        <v>0</v>
      </c>
      <c r="AE55" s="193"/>
      <c r="AF55" s="50">
        <v>0</v>
      </c>
      <c r="AG55" s="51"/>
      <c r="AH55" s="51"/>
      <c r="AI55" s="51"/>
      <c r="AJ55" s="51">
        <f t="shared" si="43"/>
        <v>0</v>
      </c>
      <c r="AL55" s="51"/>
      <c r="AM55" s="51"/>
      <c r="AN55" s="51"/>
      <c r="AO55" s="51"/>
      <c r="AP55" s="51">
        <f t="shared" si="44"/>
        <v>0</v>
      </c>
      <c r="AR55" s="50">
        <f t="shared" si="45"/>
        <v>0</v>
      </c>
      <c r="AS55" s="50">
        <f t="shared" si="46"/>
        <v>3</v>
      </c>
      <c r="AT55" s="50">
        <f t="shared" si="47"/>
        <v>0</v>
      </c>
      <c r="AU55" s="50">
        <f t="shared" si="48"/>
        <v>0</v>
      </c>
      <c r="AV55" s="51">
        <f t="shared" si="49"/>
        <v>3</v>
      </c>
    </row>
    <row r="56" spans="1:48" x14ac:dyDescent="0.25">
      <c r="A56" s="14" t="s">
        <v>51</v>
      </c>
      <c r="B56" s="51"/>
      <c r="C56" s="51">
        <v>0.5</v>
      </c>
      <c r="D56" s="51"/>
      <c r="E56" s="51"/>
      <c r="F56" s="51">
        <f t="shared" si="38"/>
        <v>0.5</v>
      </c>
      <c r="H56" s="51"/>
      <c r="I56" s="51">
        <v>0.5</v>
      </c>
      <c r="J56" s="51"/>
      <c r="K56" s="51"/>
      <c r="L56" s="51">
        <f t="shared" si="39"/>
        <v>0.5</v>
      </c>
      <c r="N56" s="51"/>
      <c r="O56" s="51">
        <v>1</v>
      </c>
      <c r="P56" s="51"/>
      <c r="Q56" s="51"/>
      <c r="R56" s="51">
        <f t="shared" si="40"/>
        <v>1</v>
      </c>
      <c r="T56" s="51"/>
      <c r="U56" s="51"/>
      <c r="V56" s="51"/>
      <c r="W56" s="51"/>
      <c r="X56" s="51">
        <f t="shared" si="41"/>
        <v>0</v>
      </c>
      <c r="Y56" s="193"/>
      <c r="Z56" s="51"/>
      <c r="AA56" s="51"/>
      <c r="AB56" s="51"/>
      <c r="AC56" s="51"/>
      <c r="AD56" s="51">
        <f t="shared" si="42"/>
        <v>0</v>
      </c>
      <c r="AE56" s="193"/>
      <c r="AF56" s="50">
        <v>0</v>
      </c>
      <c r="AG56" s="51"/>
      <c r="AH56" s="51"/>
      <c r="AI56" s="51"/>
      <c r="AJ56" s="51">
        <f t="shared" si="43"/>
        <v>0</v>
      </c>
      <c r="AL56" s="51"/>
      <c r="AM56" s="51">
        <v>2</v>
      </c>
      <c r="AN56" s="51"/>
      <c r="AO56" s="51"/>
      <c r="AP56" s="51">
        <f t="shared" si="44"/>
        <v>2</v>
      </c>
      <c r="AR56" s="50">
        <f t="shared" si="45"/>
        <v>0</v>
      </c>
      <c r="AS56" s="50">
        <f t="shared" si="46"/>
        <v>4</v>
      </c>
      <c r="AT56" s="50">
        <f t="shared" si="47"/>
        <v>0</v>
      </c>
      <c r="AU56" s="50">
        <f t="shared" si="48"/>
        <v>0</v>
      </c>
      <c r="AV56" s="51">
        <f t="shared" si="49"/>
        <v>4</v>
      </c>
    </row>
    <row r="57" spans="1:48" x14ac:dyDescent="0.25">
      <c r="A57" s="14" t="s">
        <v>52</v>
      </c>
      <c r="B57" s="51"/>
      <c r="C57" s="51"/>
      <c r="D57" s="51"/>
      <c r="E57" s="51"/>
      <c r="F57" s="51">
        <f t="shared" si="38"/>
        <v>0</v>
      </c>
      <c r="H57" s="51"/>
      <c r="I57" s="51"/>
      <c r="J57" s="51"/>
      <c r="K57" s="51"/>
      <c r="L57" s="51">
        <f t="shared" si="39"/>
        <v>0</v>
      </c>
      <c r="N57" s="51"/>
      <c r="O57" s="51"/>
      <c r="P57" s="51"/>
      <c r="Q57" s="51"/>
      <c r="R57" s="51">
        <f t="shared" si="40"/>
        <v>0</v>
      </c>
      <c r="T57" s="51"/>
      <c r="U57" s="51"/>
      <c r="V57" s="51"/>
      <c r="W57" s="51"/>
      <c r="X57" s="51">
        <f t="shared" si="41"/>
        <v>0</v>
      </c>
      <c r="Y57" s="193"/>
      <c r="Z57" s="51"/>
      <c r="AA57" s="51"/>
      <c r="AB57" s="51"/>
      <c r="AC57" s="51"/>
      <c r="AD57" s="51">
        <f t="shared" si="42"/>
        <v>0</v>
      </c>
      <c r="AE57" s="193"/>
      <c r="AF57" s="50">
        <v>0</v>
      </c>
      <c r="AG57" s="51"/>
      <c r="AH57" s="51"/>
      <c r="AI57" s="51"/>
      <c r="AJ57" s="51">
        <f t="shared" si="43"/>
        <v>0</v>
      </c>
      <c r="AL57" s="51"/>
      <c r="AM57" s="51"/>
      <c r="AN57" s="51"/>
      <c r="AO57" s="51"/>
      <c r="AP57" s="51">
        <f t="shared" si="44"/>
        <v>0</v>
      </c>
      <c r="AR57" s="50">
        <f t="shared" si="45"/>
        <v>0</v>
      </c>
      <c r="AS57" s="50">
        <f t="shared" si="46"/>
        <v>0</v>
      </c>
      <c r="AT57" s="50">
        <f t="shared" si="47"/>
        <v>0</v>
      </c>
      <c r="AU57" s="50">
        <f t="shared" si="48"/>
        <v>0</v>
      </c>
      <c r="AV57" s="51">
        <f t="shared" si="49"/>
        <v>0</v>
      </c>
    </row>
    <row r="58" spans="1:48" x14ac:dyDescent="0.25">
      <c r="A58" s="14" t="s">
        <v>53</v>
      </c>
      <c r="B58" s="51"/>
      <c r="C58" s="51"/>
      <c r="D58" s="51"/>
      <c r="E58" s="51"/>
      <c r="F58" s="51">
        <f t="shared" si="38"/>
        <v>0</v>
      </c>
      <c r="H58" s="51"/>
      <c r="I58" s="51"/>
      <c r="J58" s="51"/>
      <c r="K58" s="51"/>
      <c r="L58" s="51">
        <f t="shared" si="39"/>
        <v>0</v>
      </c>
      <c r="N58" s="51">
        <v>1</v>
      </c>
      <c r="O58" s="51"/>
      <c r="P58" s="51"/>
      <c r="Q58" s="51"/>
      <c r="R58" s="51">
        <f t="shared" si="40"/>
        <v>1</v>
      </c>
      <c r="T58" s="51"/>
      <c r="U58" s="51"/>
      <c r="V58" s="51"/>
      <c r="W58" s="51"/>
      <c r="X58" s="51">
        <f t="shared" si="41"/>
        <v>0</v>
      </c>
      <c r="Y58" s="193"/>
      <c r="Z58" s="51"/>
      <c r="AA58" s="51"/>
      <c r="AB58" s="51"/>
      <c r="AC58" s="51"/>
      <c r="AD58" s="51">
        <f t="shared" si="42"/>
        <v>0</v>
      </c>
      <c r="AE58" s="193"/>
      <c r="AF58" s="51"/>
      <c r="AG58" s="51"/>
      <c r="AH58" s="51"/>
      <c r="AI58" s="51"/>
      <c r="AJ58" s="51">
        <f t="shared" si="43"/>
        <v>0</v>
      </c>
      <c r="AL58" s="51"/>
      <c r="AM58" s="51"/>
      <c r="AN58" s="51"/>
      <c r="AO58" s="51"/>
      <c r="AP58" s="51">
        <f t="shared" si="44"/>
        <v>0</v>
      </c>
      <c r="AR58" s="50">
        <f t="shared" si="45"/>
        <v>1</v>
      </c>
      <c r="AS58" s="50">
        <f t="shared" si="46"/>
        <v>0</v>
      </c>
      <c r="AT58" s="50">
        <f t="shared" si="47"/>
        <v>0</v>
      </c>
      <c r="AU58" s="50">
        <f t="shared" si="48"/>
        <v>0</v>
      </c>
      <c r="AV58" s="51">
        <f t="shared" si="49"/>
        <v>1</v>
      </c>
    </row>
    <row r="59" spans="1:48" x14ac:dyDescent="0.25">
      <c r="A59" s="14" t="s">
        <v>54</v>
      </c>
      <c r="B59" s="51">
        <v>2</v>
      </c>
      <c r="C59" s="51"/>
      <c r="D59" s="51"/>
      <c r="E59" s="51"/>
      <c r="F59" s="51">
        <f t="shared" si="38"/>
        <v>2</v>
      </c>
      <c r="H59" s="51">
        <v>1</v>
      </c>
      <c r="I59" s="51"/>
      <c r="J59" s="51"/>
      <c r="K59" s="51"/>
      <c r="L59" s="51">
        <f t="shared" si="39"/>
        <v>1</v>
      </c>
      <c r="N59" s="51">
        <v>3</v>
      </c>
      <c r="O59" s="51"/>
      <c r="P59" s="51"/>
      <c r="Q59" s="51"/>
      <c r="R59" s="51">
        <f t="shared" si="40"/>
        <v>3</v>
      </c>
      <c r="T59" s="51"/>
      <c r="U59" s="51"/>
      <c r="V59" s="51"/>
      <c r="W59" s="51"/>
      <c r="X59" s="51">
        <f t="shared" si="41"/>
        <v>0</v>
      </c>
      <c r="Y59" s="193"/>
      <c r="Z59" s="51"/>
      <c r="AA59" s="51"/>
      <c r="AB59" s="51"/>
      <c r="AC59" s="51"/>
      <c r="AD59" s="51">
        <f t="shared" si="42"/>
        <v>0</v>
      </c>
      <c r="AE59" s="193"/>
      <c r="AF59" s="51"/>
      <c r="AG59" s="51"/>
      <c r="AH59" s="51"/>
      <c r="AI59" s="51"/>
      <c r="AJ59" s="51">
        <f t="shared" si="43"/>
        <v>0</v>
      </c>
      <c r="AL59" s="51"/>
      <c r="AM59" s="51"/>
      <c r="AN59" s="51"/>
      <c r="AO59" s="51"/>
      <c r="AP59" s="51">
        <f t="shared" si="44"/>
        <v>0</v>
      </c>
      <c r="AR59" s="50">
        <f t="shared" si="45"/>
        <v>6</v>
      </c>
      <c r="AS59" s="50">
        <f t="shared" si="46"/>
        <v>0</v>
      </c>
      <c r="AT59" s="50">
        <f t="shared" si="47"/>
        <v>0</v>
      </c>
      <c r="AU59" s="50">
        <f t="shared" si="48"/>
        <v>0</v>
      </c>
      <c r="AV59" s="51">
        <f t="shared" si="49"/>
        <v>6</v>
      </c>
    </row>
    <row r="60" spans="1:48" x14ac:dyDescent="0.25">
      <c r="A60" s="11" t="s">
        <v>55</v>
      </c>
      <c r="B60" s="50">
        <v>1</v>
      </c>
      <c r="C60" s="50"/>
      <c r="D60" s="50"/>
      <c r="E60" s="50"/>
      <c r="F60" s="51">
        <f t="shared" si="38"/>
        <v>1</v>
      </c>
      <c r="H60" s="50">
        <v>1</v>
      </c>
      <c r="I60" s="50"/>
      <c r="J60" s="50"/>
      <c r="K60" s="50"/>
      <c r="L60" s="51">
        <f t="shared" si="39"/>
        <v>1</v>
      </c>
      <c r="N60" s="50">
        <v>1</v>
      </c>
      <c r="O60" s="50"/>
      <c r="P60" s="50"/>
      <c r="Q60" s="50"/>
      <c r="R60" s="51">
        <f t="shared" si="40"/>
        <v>1</v>
      </c>
      <c r="T60" s="50"/>
      <c r="U60" s="50"/>
      <c r="V60" s="50"/>
      <c r="W60" s="50"/>
      <c r="X60" s="51">
        <f t="shared" si="41"/>
        <v>0</v>
      </c>
      <c r="Y60" s="193"/>
      <c r="Z60" s="50"/>
      <c r="AA60" s="50"/>
      <c r="AB60" s="50"/>
      <c r="AC60" s="50"/>
      <c r="AD60" s="51">
        <f t="shared" si="42"/>
        <v>0</v>
      </c>
      <c r="AE60" s="193"/>
      <c r="AF60" s="50"/>
      <c r="AG60" s="50"/>
      <c r="AH60" s="50"/>
      <c r="AI60" s="50"/>
      <c r="AJ60" s="51">
        <f t="shared" si="43"/>
        <v>0</v>
      </c>
      <c r="AL60" s="50"/>
      <c r="AM60" s="50"/>
      <c r="AN60" s="50"/>
      <c r="AO60" s="50"/>
      <c r="AP60" s="51">
        <f t="shared" si="44"/>
        <v>0</v>
      </c>
      <c r="AR60" s="50">
        <f t="shared" si="45"/>
        <v>3</v>
      </c>
      <c r="AS60" s="50">
        <f t="shared" si="46"/>
        <v>0</v>
      </c>
      <c r="AT60" s="50">
        <f t="shared" si="47"/>
        <v>0</v>
      </c>
      <c r="AU60" s="50">
        <f t="shared" si="48"/>
        <v>0</v>
      </c>
      <c r="AV60" s="51">
        <f t="shared" si="49"/>
        <v>3</v>
      </c>
    </row>
    <row r="61" spans="1:48" x14ac:dyDescent="0.25">
      <c r="A61" s="9" t="s">
        <v>56</v>
      </c>
      <c r="B61" s="52">
        <f t="shared" ref="B61:F61" si="50">SUM(B39:B60)</f>
        <v>34.5</v>
      </c>
      <c r="C61" s="52">
        <f t="shared" si="50"/>
        <v>7.5</v>
      </c>
      <c r="D61" s="52">
        <f t="shared" si="50"/>
        <v>3</v>
      </c>
      <c r="E61" s="52">
        <f t="shared" si="50"/>
        <v>0</v>
      </c>
      <c r="F61" s="52">
        <f t="shared" si="50"/>
        <v>45</v>
      </c>
      <c r="H61" s="52">
        <f t="shared" ref="H61:L61" si="51">SUM(H39:H60)</f>
        <v>31.5</v>
      </c>
      <c r="I61" s="52">
        <f t="shared" si="51"/>
        <v>8</v>
      </c>
      <c r="J61" s="52">
        <f t="shared" si="51"/>
        <v>3</v>
      </c>
      <c r="K61" s="52">
        <f t="shared" si="51"/>
        <v>0</v>
      </c>
      <c r="L61" s="52">
        <f t="shared" si="51"/>
        <v>42.5</v>
      </c>
      <c r="N61" s="52">
        <f t="shared" ref="N61:R61" si="52">SUM(N39:N60)</f>
        <v>57</v>
      </c>
      <c r="O61" s="52">
        <f t="shared" si="52"/>
        <v>17</v>
      </c>
      <c r="P61" s="52">
        <f t="shared" si="52"/>
        <v>9</v>
      </c>
      <c r="Q61" s="52">
        <f t="shared" si="52"/>
        <v>0</v>
      </c>
      <c r="R61" s="52">
        <f t="shared" si="52"/>
        <v>83</v>
      </c>
      <c r="T61" s="52">
        <f t="shared" ref="T61:X61" si="53">SUM(T39:T60)</f>
        <v>8.5</v>
      </c>
      <c r="U61" s="52">
        <f t="shared" si="53"/>
        <v>3</v>
      </c>
      <c r="V61" s="52">
        <f t="shared" si="53"/>
        <v>0</v>
      </c>
      <c r="W61" s="52">
        <f t="shared" si="53"/>
        <v>0</v>
      </c>
      <c r="X61" s="52">
        <f t="shared" si="53"/>
        <v>11.5</v>
      </c>
      <c r="Y61" s="197"/>
      <c r="Z61" s="52">
        <f t="shared" ref="Z61:AD61" si="54">SUM(Z39:Z60)</f>
        <v>7</v>
      </c>
      <c r="AA61" s="52">
        <f t="shared" si="54"/>
        <v>2</v>
      </c>
      <c r="AB61" s="52">
        <f t="shared" si="54"/>
        <v>1</v>
      </c>
      <c r="AC61" s="52">
        <f t="shared" si="54"/>
        <v>0</v>
      </c>
      <c r="AD61" s="52">
        <f t="shared" si="54"/>
        <v>10</v>
      </c>
      <c r="AE61" s="197"/>
      <c r="AF61" s="52">
        <f t="shared" ref="AF61:AJ61" si="55">SUM(AF39:AF60)</f>
        <v>0</v>
      </c>
      <c r="AG61" s="52">
        <f t="shared" si="55"/>
        <v>0</v>
      </c>
      <c r="AH61" s="52">
        <f t="shared" si="55"/>
        <v>0</v>
      </c>
      <c r="AI61" s="52">
        <f t="shared" si="55"/>
        <v>0</v>
      </c>
      <c r="AJ61" s="52">
        <f t="shared" si="55"/>
        <v>0</v>
      </c>
      <c r="AL61" s="52">
        <f t="shared" ref="AL61:AP61" si="56">SUM(AL39:AL60)</f>
        <v>5</v>
      </c>
      <c r="AM61" s="52">
        <f t="shared" si="56"/>
        <v>3</v>
      </c>
      <c r="AN61" s="52">
        <f t="shared" si="56"/>
        <v>1</v>
      </c>
      <c r="AO61" s="52">
        <f t="shared" si="56"/>
        <v>27</v>
      </c>
      <c r="AP61" s="52">
        <f t="shared" si="56"/>
        <v>36</v>
      </c>
      <c r="AR61" s="52">
        <f t="shared" ref="AR61:AV61" si="57">SUM(AR39:AR60)</f>
        <v>143.5</v>
      </c>
      <c r="AS61" s="52">
        <f t="shared" si="57"/>
        <v>40.5</v>
      </c>
      <c r="AT61" s="52">
        <f t="shared" si="57"/>
        <v>17</v>
      </c>
      <c r="AU61" s="52">
        <f t="shared" si="57"/>
        <v>27</v>
      </c>
      <c r="AV61" s="52">
        <f t="shared" si="57"/>
        <v>228</v>
      </c>
    </row>
    <row r="62" spans="1:48" ht="16.5" thickBot="1" x14ac:dyDescent="0.3">
      <c r="A62" s="15"/>
      <c r="B62" s="53"/>
      <c r="C62" s="53"/>
      <c r="D62" s="53"/>
      <c r="E62" s="53"/>
      <c r="F62" s="53"/>
      <c r="H62" s="53"/>
      <c r="I62" s="53"/>
      <c r="J62" s="53"/>
      <c r="K62" s="53"/>
      <c r="L62" s="53"/>
      <c r="N62" s="53"/>
      <c r="O62" s="53"/>
      <c r="P62" s="53"/>
      <c r="Q62" s="53"/>
      <c r="R62" s="53"/>
      <c r="T62" s="53"/>
      <c r="U62" s="53"/>
      <c r="V62" s="53"/>
      <c r="W62" s="53"/>
      <c r="X62" s="53"/>
      <c r="Y62" s="196"/>
      <c r="Z62" s="53"/>
      <c r="AA62" s="53"/>
      <c r="AB62" s="53"/>
      <c r="AC62" s="53"/>
      <c r="AD62" s="53"/>
      <c r="AE62" s="196"/>
      <c r="AF62" s="53"/>
      <c r="AG62" s="53"/>
      <c r="AH62" s="53"/>
      <c r="AI62" s="53"/>
      <c r="AJ62" s="53"/>
      <c r="AL62" s="53"/>
      <c r="AM62" s="53"/>
      <c r="AN62" s="53"/>
      <c r="AO62" s="53"/>
      <c r="AP62" s="53"/>
      <c r="AR62" s="53"/>
      <c r="AS62" s="53"/>
      <c r="AT62" s="53"/>
      <c r="AU62" s="53"/>
      <c r="AV62" s="53"/>
    </row>
    <row r="63" spans="1:48" x14ac:dyDescent="0.25">
      <c r="A63" s="16" t="s">
        <v>57</v>
      </c>
      <c r="B63" s="54">
        <f>B36+B41+B43+B50</f>
        <v>58</v>
      </c>
      <c r="C63" s="54">
        <f t="shared" ref="C63:F63" si="58">C36+C41+C43+C50</f>
        <v>10</v>
      </c>
      <c r="D63" s="54">
        <f t="shared" si="58"/>
        <v>0</v>
      </c>
      <c r="E63" s="54">
        <f t="shared" si="58"/>
        <v>0</v>
      </c>
      <c r="F63" s="54">
        <f t="shared" si="58"/>
        <v>68</v>
      </c>
      <c r="H63" s="54">
        <f>H36+H41+H43+H50</f>
        <v>57.5</v>
      </c>
      <c r="I63" s="54">
        <f t="shared" ref="I63:L63" si="59">I36+I41+I43+I50</f>
        <v>9.5</v>
      </c>
      <c r="J63" s="54">
        <f t="shared" si="59"/>
        <v>0</v>
      </c>
      <c r="K63" s="54">
        <f t="shared" si="59"/>
        <v>0</v>
      </c>
      <c r="L63" s="54">
        <f t="shared" si="59"/>
        <v>67</v>
      </c>
      <c r="N63" s="54">
        <f>N36+N41+N43+N50</f>
        <v>117</v>
      </c>
      <c r="O63" s="54">
        <f t="shared" ref="O63:R63" si="60">O36+O41+O43+O50</f>
        <v>28</v>
      </c>
      <c r="P63" s="54">
        <f t="shared" si="60"/>
        <v>0</v>
      </c>
      <c r="Q63" s="54">
        <f t="shared" si="60"/>
        <v>0</v>
      </c>
      <c r="R63" s="54">
        <f t="shared" si="60"/>
        <v>145</v>
      </c>
      <c r="T63" s="54">
        <f>T36+T41+T43+T50</f>
        <v>27.5</v>
      </c>
      <c r="U63" s="54">
        <f t="shared" ref="U63:X63" si="61">U36+U41+U43+U50</f>
        <v>6</v>
      </c>
      <c r="V63" s="54">
        <f t="shared" si="61"/>
        <v>0</v>
      </c>
      <c r="W63" s="54">
        <f t="shared" si="61"/>
        <v>0</v>
      </c>
      <c r="X63" s="54">
        <f t="shared" si="61"/>
        <v>33.5</v>
      </c>
      <c r="Y63" s="197"/>
      <c r="Z63" s="54">
        <f>Z36+Z41+Z43+Z50</f>
        <v>20.5</v>
      </c>
      <c r="AA63" s="54">
        <f t="shared" ref="AA63:AD63" si="62">AA36+AA41+AA43+AA50</f>
        <v>3.5</v>
      </c>
      <c r="AB63" s="54">
        <f t="shared" si="62"/>
        <v>0</v>
      </c>
      <c r="AC63" s="54">
        <f t="shared" si="62"/>
        <v>0</v>
      </c>
      <c r="AD63" s="54">
        <f t="shared" si="62"/>
        <v>24</v>
      </c>
      <c r="AE63" s="197"/>
      <c r="AF63" s="54">
        <f>AF36+AF41+AF43+AF50</f>
        <v>0</v>
      </c>
      <c r="AG63" s="54">
        <f t="shared" ref="AG63:AJ63" si="63">AG36+AG41+AG43+AG50</f>
        <v>0</v>
      </c>
      <c r="AH63" s="54">
        <f t="shared" si="63"/>
        <v>0</v>
      </c>
      <c r="AI63" s="54">
        <f t="shared" si="63"/>
        <v>0</v>
      </c>
      <c r="AJ63" s="54">
        <f t="shared" si="63"/>
        <v>0</v>
      </c>
      <c r="AL63" s="54">
        <f>AL36+AL41+AL43+AL50</f>
        <v>2</v>
      </c>
      <c r="AM63" s="54">
        <f t="shared" ref="AM63:AP63" si="64">AM36+AM41+AM43+AM50</f>
        <v>0</v>
      </c>
      <c r="AN63" s="54">
        <f t="shared" si="64"/>
        <v>0</v>
      </c>
      <c r="AO63" s="54">
        <f t="shared" si="64"/>
        <v>25</v>
      </c>
      <c r="AP63" s="54">
        <f t="shared" si="64"/>
        <v>27</v>
      </c>
      <c r="AR63" s="54">
        <f>AR36+AR41+AR43+AR50</f>
        <v>282.5</v>
      </c>
      <c r="AS63" s="54">
        <f t="shared" ref="AS63:AV63" si="65">AS36+AS41+AS43+AS50</f>
        <v>57</v>
      </c>
      <c r="AT63" s="54">
        <f t="shared" si="65"/>
        <v>0</v>
      </c>
      <c r="AU63" s="54">
        <f t="shared" si="65"/>
        <v>25</v>
      </c>
      <c r="AV63" s="54">
        <f t="shared" si="65"/>
        <v>364.5</v>
      </c>
    </row>
    <row r="64" spans="1:48" x14ac:dyDescent="0.25">
      <c r="A64" s="17" t="s">
        <v>58</v>
      </c>
      <c r="B64" s="55">
        <f>B61-B41-B43-B50</f>
        <v>21.5</v>
      </c>
      <c r="C64" s="55">
        <f>C61-C41-C43-C50</f>
        <v>2.5</v>
      </c>
      <c r="D64" s="55">
        <f t="shared" ref="D64:F64" si="66">D61-D41-D43-D50</f>
        <v>3</v>
      </c>
      <c r="E64" s="55">
        <f t="shared" si="66"/>
        <v>0</v>
      </c>
      <c r="F64" s="55">
        <f t="shared" si="66"/>
        <v>27</v>
      </c>
      <c r="H64" s="55">
        <f>H61-H41-H43-H50</f>
        <v>19</v>
      </c>
      <c r="I64" s="55">
        <f>I61-I41-I43-I50</f>
        <v>2.5</v>
      </c>
      <c r="J64" s="55">
        <f t="shared" ref="J64:L64" si="67">J61-J41-J43-J50</f>
        <v>3</v>
      </c>
      <c r="K64" s="55">
        <f t="shared" si="67"/>
        <v>0</v>
      </c>
      <c r="L64" s="55">
        <f t="shared" si="67"/>
        <v>24.5</v>
      </c>
      <c r="N64" s="55">
        <f>N61-N41-N43-N50</f>
        <v>40</v>
      </c>
      <c r="O64" s="55">
        <f>O61-O41-O43-O50</f>
        <v>3</v>
      </c>
      <c r="P64" s="55">
        <f t="shared" ref="P64:R64" si="68">P61-P41-P43-P50</f>
        <v>9</v>
      </c>
      <c r="Q64" s="55">
        <f t="shared" si="68"/>
        <v>0</v>
      </c>
      <c r="R64" s="55">
        <f t="shared" si="68"/>
        <v>52</v>
      </c>
      <c r="T64" s="55">
        <f>T61-T41-T43-T50</f>
        <v>4</v>
      </c>
      <c r="U64" s="55">
        <f>U61-U41-U43-U50</f>
        <v>0</v>
      </c>
      <c r="V64" s="55">
        <f t="shared" ref="V64:X64" si="69">V61-V41-V43-V50</f>
        <v>0</v>
      </c>
      <c r="W64" s="55">
        <f t="shared" si="69"/>
        <v>0</v>
      </c>
      <c r="X64" s="55">
        <f t="shared" si="69"/>
        <v>4</v>
      </c>
      <c r="Y64" s="197"/>
      <c r="Z64" s="55">
        <f>Z61-Z41-Z43-Z50</f>
        <v>5</v>
      </c>
      <c r="AA64" s="55">
        <f>AA61-AA41-AA43-AA50</f>
        <v>0</v>
      </c>
      <c r="AB64" s="55">
        <f t="shared" ref="AB64:AD64" si="70">AB61-AB41-AB43-AB50</f>
        <v>1</v>
      </c>
      <c r="AC64" s="55">
        <f t="shared" si="70"/>
        <v>0</v>
      </c>
      <c r="AD64" s="55">
        <f t="shared" si="70"/>
        <v>6</v>
      </c>
      <c r="AE64" s="197"/>
      <c r="AF64" s="55">
        <f>AF61-AF41-AF43-AF50</f>
        <v>0</v>
      </c>
      <c r="AG64" s="55">
        <f>AG61-AG41-AG43-AG50</f>
        <v>0</v>
      </c>
      <c r="AH64" s="55">
        <f t="shared" ref="AH64:AJ64" si="71">AH61-AH41-AH43-AH50</f>
        <v>0</v>
      </c>
      <c r="AI64" s="55">
        <f t="shared" si="71"/>
        <v>0</v>
      </c>
      <c r="AJ64" s="55">
        <f t="shared" si="71"/>
        <v>0</v>
      </c>
      <c r="AL64" s="55">
        <f>AL61-AL41-AL43-AL50</f>
        <v>3</v>
      </c>
      <c r="AM64" s="55">
        <f>AM61-AM41-AM43-AM50</f>
        <v>3</v>
      </c>
      <c r="AN64" s="55">
        <f t="shared" ref="AN64:AP64" si="72">AN61-AN41-AN43-AN50</f>
        <v>1</v>
      </c>
      <c r="AO64" s="55">
        <f t="shared" si="72"/>
        <v>2</v>
      </c>
      <c r="AP64" s="55">
        <f t="shared" si="72"/>
        <v>9</v>
      </c>
      <c r="AR64" s="55">
        <f>AR61-AR41-AR43-AR50</f>
        <v>92.5</v>
      </c>
      <c r="AS64" s="55">
        <f>AS61-AS41-AS43-AS50</f>
        <v>11</v>
      </c>
      <c r="AT64" s="55">
        <f t="shared" ref="AT64:AV64" si="73">AT61-AT41-AT43-AT50</f>
        <v>17</v>
      </c>
      <c r="AU64" s="55">
        <f t="shared" si="73"/>
        <v>2</v>
      </c>
      <c r="AV64" s="55">
        <f t="shared" si="73"/>
        <v>122.5</v>
      </c>
    </row>
    <row r="65" spans="1:48" ht="16.5" thickBot="1" x14ac:dyDescent="0.3">
      <c r="A65" s="18" t="s">
        <v>59</v>
      </c>
      <c r="B65" s="56">
        <f>SUM(B63:B64)</f>
        <v>79.5</v>
      </c>
      <c r="C65" s="56">
        <f t="shared" ref="C65:F65" si="74">SUM(C63:C64)</f>
        <v>12.5</v>
      </c>
      <c r="D65" s="56">
        <f t="shared" si="74"/>
        <v>3</v>
      </c>
      <c r="E65" s="56">
        <f t="shared" si="74"/>
        <v>0</v>
      </c>
      <c r="F65" s="56">
        <f t="shared" si="74"/>
        <v>95</v>
      </c>
      <c r="H65" s="56">
        <f>SUM(H63:H64)</f>
        <v>76.5</v>
      </c>
      <c r="I65" s="56">
        <f t="shared" ref="I65:L65" si="75">SUM(I63:I64)</f>
        <v>12</v>
      </c>
      <c r="J65" s="56">
        <f t="shared" si="75"/>
        <v>3</v>
      </c>
      <c r="K65" s="56">
        <f t="shared" si="75"/>
        <v>0</v>
      </c>
      <c r="L65" s="56">
        <f t="shared" si="75"/>
        <v>91.5</v>
      </c>
      <c r="N65" s="56">
        <f>SUM(N63:N64)</f>
        <v>157</v>
      </c>
      <c r="O65" s="56">
        <f t="shared" ref="O65:R65" si="76">SUM(O63:O64)</f>
        <v>31</v>
      </c>
      <c r="P65" s="56">
        <f t="shared" si="76"/>
        <v>9</v>
      </c>
      <c r="Q65" s="56">
        <f t="shared" si="76"/>
        <v>0</v>
      </c>
      <c r="R65" s="56">
        <f t="shared" si="76"/>
        <v>197</v>
      </c>
      <c r="T65" s="56">
        <f t="shared" ref="T65:W65" si="77">SUM(T63:T64)</f>
        <v>31.5</v>
      </c>
      <c r="U65" s="56">
        <f t="shared" si="77"/>
        <v>6</v>
      </c>
      <c r="V65" s="56">
        <f t="shared" si="77"/>
        <v>0</v>
      </c>
      <c r="W65" s="56">
        <f t="shared" si="77"/>
        <v>0</v>
      </c>
      <c r="X65" s="56">
        <f t="shared" ref="X65" si="78">SUM(X63:X64)</f>
        <v>37.5</v>
      </c>
      <c r="Y65" s="197"/>
      <c r="Z65" s="56">
        <f t="shared" ref="Z65:AD65" si="79">SUM(Z63:Z64)</f>
        <v>25.5</v>
      </c>
      <c r="AA65" s="56">
        <f t="shared" si="79"/>
        <v>3.5</v>
      </c>
      <c r="AB65" s="56">
        <f t="shared" si="79"/>
        <v>1</v>
      </c>
      <c r="AC65" s="56">
        <f t="shared" si="79"/>
        <v>0</v>
      </c>
      <c r="AD65" s="56">
        <f t="shared" si="79"/>
        <v>30</v>
      </c>
      <c r="AE65" s="197"/>
      <c r="AF65" s="56">
        <f t="shared" ref="AF65:AJ65" si="80">SUM(AF63:AF64)</f>
        <v>0</v>
      </c>
      <c r="AG65" s="56">
        <f t="shared" si="80"/>
        <v>0</v>
      </c>
      <c r="AH65" s="56">
        <f t="shared" si="80"/>
        <v>0</v>
      </c>
      <c r="AI65" s="56">
        <f t="shared" si="80"/>
        <v>0</v>
      </c>
      <c r="AJ65" s="56">
        <f t="shared" si="80"/>
        <v>0</v>
      </c>
      <c r="AL65" s="56">
        <f>SUM(AL63:AL64)</f>
        <v>5</v>
      </c>
      <c r="AM65" s="56">
        <f t="shared" ref="AM65:AP65" si="81">SUM(AM63:AM64)</f>
        <v>3</v>
      </c>
      <c r="AN65" s="56">
        <f t="shared" si="81"/>
        <v>1</v>
      </c>
      <c r="AO65" s="56">
        <f t="shared" si="81"/>
        <v>27</v>
      </c>
      <c r="AP65" s="56">
        <f t="shared" si="81"/>
        <v>36</v>
      </c>
      <c r="AR65" s="56">
        <f>SUM(AR63:AR64)</f>
        <v>375</v>
      </c>
      <c r="AS65" s="56">
        <f t="shared" ref="AS65:AV65" si="82">SUM(AS63:AS64)</f>
        <v>68</v>
      </c>
      <c r="AT65" s="56">
        <f t="shared" si="82"/>
        <v>17</v>
      </c>
      <c r="AU65" s="56">
        <f t="shared" si="82"/>
        <v>27</v>
      </c>
      <c r="AV65" s="56">
        <f t="shared" si="82"/>
        <v>487</v>
      </c>
    </row>
    <row r="66" spans="1:48" ht="16.5" thickBot="1" x14ac:dyDescent="0.3">
      <c r="B66" s="57"/>
      <c r="C66" s="57"/>
      <c r="D66" s="57"/>
      <c r="E66" s="57"/>
      <c r="F66" s="57"/>
      <c r="H66" s="57"/>
      <c r="I66" s="57"/>
      <c r="J66" s="57"/>
      <c r="K66" s="57"/>
      <c r="L66" s="57"/>
      <c r="N66" s="57"/>
      <c r="O66" s="57"/>
      <c r="P66" s="57"/>
      <c r="Q66" s="57"/>
      <c r="R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L66" s="57"/>
      <c r="AM66" s="57"/>
      <c r="AN66" s="57"/>
      <c r="AO66" s="57"/>
      <c r="AP66" s="57"/>
      <c r="AR66" s="57"/>
      <c r="AS66" s="57"/>
      <c r="AT66" s="57"/>
      <c r="AU66" s="57"/>
      <c r="AV66" s="57"/>
    </row>
    <row r="67" spans="1:48" ht="16.5" thickBot="1" x14ac:dyDescent="0.3">
      <c r="A67" s="19"/>
      <c r="B67" s="58" t="s">
        <v>157</v>
      </c>
      <c r="C67" s="58" t="s">
        <v>158</v>
      </c>
      <c r="D67" s="58" t="s">
        <v>159</v>
      </c>
      <c r="E67" s="59" t="str">
        <f>E20</f>
        <v>Other</v>
      </c>
      <c r="F67" s="59" t="str">
        <f>F20</f>
        <v>FY27- Mtn</v>
      </c>
      <c r="H67" s="58" t="s">
        <v>157</v>
      </c>
      <c r="I67" s="58" t="s">
        <v>158</v>
      </c>
      <c r="J67" s="58" t="s">
        <v>159</v>
      </c>
      <c r="K67" s="59" t="str">
        <f>K20</f>
        <v>Other</v>
      </c>
      <c r="L67" s="59" t="str">
        <f>L20</f>
        <v>FY27- Bon</v>
      </c>
      <c r="N67" s="58" t="s">
        <v>157</v>
      </c>
      <c r="O67" s="58" t="s">
        <v>158</v>
      </c>
      <c r="P67" s="58" t="s">
        <v>159</v>
      </c>
      <c r="Q67" s="59" t="str">
        <f>Q20</f>
        <v>Other</v>
      </c>
      <c r="R67" s="59" t="str">
        <f>R20</f>
        <v>FY27- East</v>
      </c>
      <c r="T67" s="58" t="s">
        <v>157</v>
      </c>
      <c r="U67" s="58" t="s">
        <v>158</v>
      </c>
      <c r="V67" s="58" t="s">
        <v>159</v>
      </c>
      <c r="W67" s="59" t="str">
        <f>W20</f>
        <v>Other</v>
      </c>
      <c r="X67" s="59" t="str">
        <f>X20</f>
        <v>FY27- Cactus</v>
      </c>
      <c r="Y67" s="198"/>
      <c r="Z67" s="58" t="s">
        <v>157</v>
      </c>
      <c r="AA67" s="58" t="s">
        <v>158</v>
      </c>
      <c r="AB67" s="58" t="s">
        <v>159</v>
      </c>
      <c r="AC67" s="59" t="str">
        <f>AC20</f>
        <v>Other</v>
      </c>
      <c r="AD67" s="59" t="str">
        <f>AD20</f>
        <v>FY27- Sahara</v>
      </c>
      <c r="AE67" s="198"/>
      <c r="AF67" s="58" t="s">
        <v>157</v>
      </c>
      <c r="AG67" s="58" t="s">
        <v>158</v>
      </c>
      <c r="AH67" s="58" t="s">
        <v>159</v>
      </c>
      <c r="AI67" s="59" t="str">
        <f>AI20</f>
        <v>Other</v>
      </c>
      <c r="AJ67" s="59" t="str">
        <f>AJ20</f>
        <v>FY27- VV</v>
      </c>
      <c r="AL67" s="58" t="s">
        <v>157</v>
      </c>
      <c r="AM67" s="58" t="s">
        <v>158</v>
      </c>
      <c r="AN67" s="58" t="s">
        <v>159</v>
      </c>
      <c r="AO67" s="59" t="str">
        <f>AO20</f>
        <v>Grant</v>
      </c>
      <c r="AP67" s="59" t="str">
        <f>AP20</f>
        <v>FY27 - Central</v>
      </c>
      <c r="AR67" s="58" t="s">
        <v>157</v>
      </c>
      <c r="AS67" s="58" t="s">
        <v>158</v>
      </c>
      <c r="AT67" s="58" t="s">
        <v>159</v>
      </c>
      <c r="AU67" s="59" t="str">
        <f>AU20</f>
        <v>Other</v>
      </c>
      <c r="AV67" s="59" t="str">
        <f>AV20</f>
        <v>FY27- Sys</v>
      </c>
    </row>
    <row r="68" spans="1:48" x14ac:dyDescent="0.25">
      <c r="A68" s="20" t="s">
        <v>60</v>
      </c>
      <c r="B68" s="60">
        <f>B17*B2</f>
        <v>9751608</v>
      </c>
      <c r="C68" s="60"/>
      <c r="D68" s="60"/>
      <c r="E68" s="60"/>
      <c r="F68" s="60">
        <f>SUM(B68:E68)</f>
        <v>9751608</v>
      </c>
      <c r="H68" s="60">
        <f>H17*H2</f>
        <v>9751608</v>
      </c>
      <c r="I68" s="60"/>
      <c r="J68" s="60"/>
      <c r="K68" s="60"/>
      <c r="L68" s="60">
        <f>SUM(H68:K68)</f>
        <v>9751608</v>
      </c>
      <c r="N68" s="60">
        <f>N17*N2</f>
        <v>23326074</v>
      </c>
      <c r="O68" s="60"/>
      <c r="P68" s="60"/>
      <c r="Q68" s="60"/>
      <c r="R68" s="60">
        <f>SUM(N68:Q68)</f>
        <v>23326074</v>
      </c>
      <c r="T68" s="60">
        <f>T2*T17</f>
        <v>5056038</v>
      </c>
      <c r="U68" s="60"/>
      <c r="V68" s="60"/>
      <c r="W68" s="60"/>
      <c r="X68" s="60">
        <f>SUM(T68:W68)</f>
        <v>5056038</v>
      </c>
      <c r="Y68" s="194"/>
      <c r="Z68" s="60">
        <f>Z2*Z17</f>
        <v>4069494</v>
      </c>
      <c r="AA68" s="60"/>
      <c r="AB68" s="60"/>
      <c r="AC68" s="60"/>
      <c r="AD68" s="60">
        <f>SUM(Z68:AC68)</f>
        <v>4069494</v>
      </c>
      <c r="AE68" s="194"/>
      <c r="AF68" s="60">
        <f>AF2*AF17</f>
        <v>0</v>
      </c>
      <c r="AG68" s="60"/>
      <c r="AH68" s="60"/>
      <c r="AI68" s="60"/>
      <c r="AJ68" s="60">
        <f>SUM(AF68:AI68)</f>
        <v>0</v>
      </c>
      <c r="AL68" s="60"/>
      <c r="AM68" s="60"/>
      <c r="AN68" s="60"/>
      <c r="AO68" s="60"/>
      <c r="AP68" s="60">
        <f>SUM(AL68:AO68)</f>
        <v>0</v>
      </c>
      <c r="AR68" s="60">
        <f>B68+H68+N68+T68+AL68+AF68+Z68</f>
        <v>51954822</v>
      </c>
      <c r="AS68" s="60">
        <f t="shared" ref="AS68:AU68" si="83">C68+I68+O68+U68+AM68+AG68+AA68</f>
        <v>0</v>
      </c>
      <c r="AT68" s="60">
        <f t="shared" si="83"/>
        <v>0</v>
      </c>
      <c r="AU68" s="60">
        <f t="shared" si="83"/>
        <v>0</v>
      </c>
      <c r="AV68" s="60">
        <f>SUM(AR68:AU68)</f>
        <v>51954822</v>
      </c>
    </row>
    <row r="69" spans="1:48" x14ac:dyDescent="0.25">
      <c r="A69" s="21" t="s">
        <v>61</v>
      </c>
      <c r="B69" s="61">
        <f>B22*4235</f>
        <v>1524600</v>
      </c>
      <c r="C69" s="61"/>
      <c r="D69" s="61"/>
      <c r="E69" s="61"/>
      <c r="F69" s="60">
        <f t="shared" ref="F69:F81" si="84">SUM(B69:E69)</f>
        <v>1524600</v>
      </c>
      <c r="H69" s="61">
        <f>H22*4235</f>
        <v>1524600</v>
      </c>
      <c r="I69" s="61"/>
      <c r="J69" s="61"/>
      <c r="K69" s="61"/>
      <c r="L69" s="60">
        <f t="shared" ref="L69:L81" si="85">SUM(H69:K69)</f>
        <v>1524600</v>
      </c>
      <c r="N69" s="61">
        <f>N22*4235</f>
        <v>3091550</v>
      </c>
      <c r="O69" s="61"/>
      <c r="P69" s="61"/>
      <c r="Q69" s="61"/>
      <c r="R69" s="60">
        <f t="shared" ref="R69:R81" si="86">SUM(N69:Q69)</f>
        <v>3091550</v>
      </c>
      <c r="T69" s="60">
        <f>(T2*0.4495)*T22</f>
        <v>319796.77500000002</v>
      </c>
      <c r="U69" s="61"/>
      <c r="V69" s="61"/>
      <c r="W69" s="61"/>
      <c r="X69" s="60">
        <f t="shared" ref="X69:X81" si="87">SUM(T69:W69)</f>
        <v>319796.77500000002</v>
      </c>
      <c r="Y69" s="194"/>
      <c r="Z69" s="60">
        <f>(Z2*0.4495)*Z22</f>
        <v>0</v>
      </c>
      <c r="AA69" s="61"/>
      <c r="AB69" s="61"/>
      <c r="AC69" s="61"/>
      <c r="AD69" s="60">
        <f t="shared" ref="AD69:AD81" si="88">SUM(Z69:AC69)</f>
        <v>0</v>
      </c>
      <c r="AE69" s="194"/>
      <c r="AF69" s="60">
        <f>(AF2*0.4495)*AF22</f>
        <v>0</v>
      </c>
      <c r="AG69" s="61"/>
      <c r="AH69" s="61"/>
      <c r="AI69" s="61"/>
      <c r="AJ69" s="60">
        <f t="shared" ref="AJ69:AJ81" si="89">SUM(AF69:AI69)</f>
        <v>0</v>
      </c>
      <c r="AL69" s="61"/>
      <c r="AM69" s="61"/>
      <c r="AN69" s="61"/>
      <c r="AO69" s="61"/>
      <c r="AP69" s="60">
        <f t="shared" ref="AP69:AP81" si="90">SUM(AL69:AO69)</f>
        <v>0</v>
      </c>
      <c r="AR69" s="60">
        <f t="shared" ref="AR69:AR81" si="91">B69+H69+N69+T69+AL69+AF69+Z69</f>
        <v>6460546.7750000004</v>
      </c>
      <c r="AS69" s="60">
        <f t="shared" ref="AS69:AS81" si="92">C69+I69+O69+U69+AM69+AG69+AA69</f>
        <v>0</v>
      </c>
      <c r="AT69" s="60">
        <f t="shared" ref="AT69:AT81" si="93">D69+J69+P69+V69+AN69+AH69+AB69</f>
        <v>0</v>
      </c>
      <c r="AU69" s="60">
        <f t="shared" ref="AU69:AU81" si="94">E69+K69+Q69+W69+AO69+AI69+AC69</f>
        <v>0</v>
      </c>
      <c r="AV69" s="60">
        <f t="shared" ref="AV69:AV81" si="95">SUM(AR69:AU69)</f>
        <v>6460546.7750000004</v>
      </c>
    </row>
    <row r="70" spans="1:48" x14ac:dyDescent="0.25">
      <c r="A70" s="21" t="s">
        <v>62</v>
      </c>
      <c r="B70" s="61">
        <f>B23*1130</f>
        <v>0</v>
      </c>
      <c r="C70" s="61"/>
      <c r="D70" s="61"/>
      <c r="E70" s="61"/>
      <c r="F70" s="60">
        <f t="shared" si="84"/>
        <v>0</v>
      </c>
      <c r="H70" s="61">
        <f>H23*1130</f>
        <v>0</v>
      </c>
      <c r="I70" s="61"/>
      <c r="J70" s="61"/>
      <c r="K70" s="61"/>
      <c r="L70" s="60">
        <f t="shared" si="85"/>
        <v>0</v>
      </c>
      <c r="N70" s="61">
        <f>N23*1130</f>
        <v>0</v>
      </c>
      <c r="O70" s="61"/>
      <c r="P70" s="61"/>
      <c r="Q70" s="61"/>
      <c r="R70" s="60">
        <f t="shared" si="86"/>
        <v>0</v>
      </c>
      <c r="T70" s="60">
        <f>(T2*0.1195)*T23</f>
        <v>0</v>
      </c>
      <c r="U70" s="61"/>
      <c r="V70" s="61"/>
      <c r="W70" s="61"/>
      <c r="X70" s="60">
        <f t="shared" si="87"/>
        <v>0</v>
      </c>
      <c r="Y70" s="194"/>
      <c r="Z70" s="60">
        <f>(Z2*0.1195)*Z23</f>
        <v>0</v>
      </c>
      <c r="AA70" s="61"/>
      <c r="AB70" s="61"/>
      <c r="AC70" s="61"/>
      <c r="AD70" s="60">
        <f t="shared" si="88"/>
        <v>0</v>
      </c>
      <c r="AE70" s="194"/>
      <c r="AF70" s="60">
        <f>(AF2*0.1195)*AF23</f>
        <v>0</v>
      </c>
      <c r="AG70" s="61"/>
      <c r="AH70" s="61"/>
      <c r="AI70" s="61"/>
      <c r="AJ70" s="60">
        <f t="shared" si="89"/>
        <v>0</v>
      </c>
      <c r="AL70" s="61"/>
      <c r="AM70" s="61"/>
      <c r="AN70" s="61"/>
      <c r="AO70" s="61"/>
      <c r="AP70" s="60">
        <f t="shared" si="90"/>
        <v>0</v>
      </c>
      <c r="AR70" s="60">
        <f t="shared" si="91"/>
        <v>0</v>
      </c>
      <c r="AS70" s="60">
        <f t="shared" si="92"/>
        <v>0</v>
      </c>
      <c r="AT70" s="60">
        <f t="shared" si="93"/>
        <v>0</v>
      </c>
      <c r="AU70" s="60">
        <f t="shared" si="94"/>
        <v>0</v>
      </c>
      <c r="AV70" s="60">
        <f t="shared" si="95"/>
        <v>0</v>
      </c>
    </row>
    <row r="71" spans="1:48" x14ac:dyDescent="0.25">
      <c r="A71" s="21" t="s">
        <v>63</v>
      </c>
      <c r="B71" s="61">
        <f>B24*3294</f>
        <v>0</v>
      </c>
      <c r="C71" s="61"/>
      <c r="D71" s="61"/>
      <c r="E71" s="61"/>
      <c r="F71" s="60">
        <f t="shared" si="84"/>
        <v>0</v>
      </c>
      <c r="H71" s="61">
        <f>H24*3294</f>
        <v>0</v>
      </c>
      <c r="I71" s="61"/>
      <c r="J71" s="61"/>
      <c r="K71" s="61"/>
      <c r="L71" s="60">
        <f t="shared" si="85"/>
        <v>0</v>
      </c>
      <c r="N71" s="61">
        <f>N24*3294</f>
        <v>16470</v>
      </c>
      <c r="O71" s="61"/>
      <c r="P71" s="61"/>
      <c r="Q71" s="61"/>
      <c r="R71" s="60">
        <f t="shared" si="86"/>
        <v>16470</v>
      </c>
      <c r="T71" s="60">
        <f>(T2*0.3495)*T24</f>
        <v>0</v>
      </c>
      <c r="U71" s="61"/>
      <c r="V71" s="61"/>
      <c r="W71" s="61"/>
      <c r="X71" s="60">
        <f t="shared" si="87"/>
        <v>0</v>
      </c>
      <c r="Y71" s="194"/>
      <c r="Z71" s="60">
        <f>(Z2*0.3495)*Z24</f>
        <v>0</v>
      </c>
      <c r="AA71" s="61"/>
      <c r="AB71" s="61"/>
      <c r="AC71" s="61"/>
      <c r="AD71" s="60">
        <f t="shared" si="88"/>
        <v>0</v>
      </c>
      <c r="AE71" s="194"/>
      <c r="AF71" s="60">
        <f>(AF2*0.3495)*AF24</f>
        <v>0</v>
      </c>
      <c r="AG71" s="61"/>
      <c r="AH71" s="61"/>
      <c r="AI71" s="61"/>
      <c r="AJ71" s="60">
        <f t="shared" si="89"/>
        <v>0</v>
      </c>
      <c r="AL71" s="61"/>
      <c r="AM71" s="61"/>
      <c r="AN71" s="61"/>
      <c r="AO71" s="61"/>
      <c r="AP71" s="60">
        <f t="shared" si="90"/>
        <v>0</v>
      </c>
      <c r="AR71" s="60">
        <f t="shared" si="91"/>
        <v>16470</v>
      </c>
      <c r="AS71" s="60">
        <f t="shared" si="92"/>
        <v>0</v>
      </c>
      <c r="AT71" s="60">
        <f t="shared" si="93"/>
        <v>0</v>
      </c>
      <c r="AU71" s="60">
        <f t="shared" si="94"/>
        <v>0</v>
      </c>
      <c r="AV71" s="60">
        <f t="shared" si="95"/>
        <v>16470</v>
      </c>
    </row>
    <row r="72" spans="1:48" x14ac:dyDescent="0.25">
      <c r="A72" s="21" t="s">
        <v>64</v>
      </c>
      <c r="B72" s="61">
        <v>393521</v>
      </c>
      <c r="C72" s="61"/>
      <c r="D72" s="61"/>
      <c r="E72" s="61"/>
      <c r="F72" s="60">
        <f t="shared" si="84"/>
        <v>393521</v>
      </c>
      <c r="H72" s="61">
        <v>385109</v>
      </c>
      <c r="I72" s="61"/>
      <c r="J72" s="61"/>
      <c r="K72" s="61"/>
      <c r="L72" s="60">
        <f t="shared" si="85"/>
        <v>385109</v>
      </c>
      <c r="N72" s="61">
        <v>873329</v>
      </c>
      <c r="O72" s="61"/>
      <c r="P72" s="61"/>
      <c r="Q72" s="61"/>
      <c r="R72" s="60">
        <f t="shared" si="86"/>
        <v>873329</v>
      </c>
      <c r="T72" s="61">
        <f>270*450</f>
        <v>121500</v>
      </c>
      <c r="U72" s="61"/>
      <c r="V72" s="61"/>
      <c r="W72" s="61"/>
      <c r="X72" s="60">
        <f t="shared" si="87"/>
        <v>121500</v>
      </c>
      <c r="Y72" s="194"/>
      <c r="Z72" s="61">
        <v>0</v>
      </c>
      <c r="AA72" s="61"/>
      <c r="AB72" s="61"/>
      <c r="AC72" s="61"/>
      <c r="AD72" s="60">
        <f t="shared" si="88"/>
        <v>0</v>
      </c>
      <c r="AE72" s="194"/>
      <c r="AF72" s="61">
        <v>0</v>
      </c>
      <c r="AG72" s="61"/>
      <c r="AH72" s="61"/>
      <c r="AI72" s="61"/>
      <c r="AJ72" s="60">
        <f t="shared" si="89"/>
        <v>0</v>
      </c>
      <c r="AL72" s="61"/>
      <c r="AM72" s="61"/>
      <c r="AN72" s="61"/>
      <c r="AO72" s="61"/>
      <c r="AP72" s="60">
        <f t="shared" si="90"/>
        <v>0</v>
      </c>
      <c r="AR72" s="60">
        <f t="shared" si="91"/>
        <v>1773459</v>
      </c>
      <c r="AS72" s="60">
        <f t="shared" si="92"/>
        <v>0</v>
      </c>
      <c r="AT72" s="60">
        <f t="shared" si="93"/>
        <v>0</v>
      </c>
      <c r="AU72" s="60">
        <f t="shared" si="94"/>
        <v>0</v>
      </c>
      <c r="AV72" s="60">
        <f t="shared" si="95"/>
        <v>1773459</v>
      </c>
    </row>
    <row r="73" spans="1:48" x14ac:dyDescent="0.25">
      <c r="A73" s="21" t="s">
        <v>65</v>
      </c>
      <c r="B73" s="61"/>
      <c r="C73" s="62">
        <v>386750</v>
      </c>
      <c r="D73" s="61"/>
      <c r="E73" s="61"/>
      <c r="F73" s="60">
        <f t="shared" si="84"/>
        <v>386750</v>
      </c>
      <c r="H73" s="61"/>
      <c r="I73" s="62">
        <v>386750</v>
      </c>
      <c r="J73" s="61"/>
      <c r="K73" s="61"/>
      <c r="L73" s="60">
        <f t="shared" si="85"/>
        <v>386750</v>
      </c>
      <c r="N73" s="61"/>
      <c r="O73" s="62">
        <v>914000</v>
      </c>
      <c r="P73" s="61"/>
      <c r="Q73" s="61"/>
      <c r="R73" s="60">
        <f t="shared" si="86"/>
        <v>914000</v>
      </c>
      <c r="T73" s="61"/>
      <c r="U73" s="61"/>
      <c r="V73" s="61"/>
      <c r="W73" s="61"/>
      <c r="X73" s="60">
        <f t="shared" si="87"/>
        <v>0</v>
      </c>
      <c r="Y73" s="194"/>
      <c r="Z73" s="61"/>
      <c r="AA73" s="61"/>
      <c r="AB73" s="61"/>
      <c r="AC73" s="61"/>
      <c r="AD73" s="60">
        <f t="shared" si="88"/>
        <v>0</v>
      </c>
      <c r="AE73" s="194"/>
      <c r="AF73" s="61"/>
      <c r="AG73" s="61"/>
      <c r="AH73" s="61"/>
      <c r="AI73" s="61"/>
      <c r="AJ73" s="60">
        <f t="shared" si="89"/>
        <v>0</v>
      </c>
      <c r="AL73" s="61"/>
      <c r="AM73" s="61"/>
      <c r="AN73" s="61"/>
      <c r="AO73" s="61"/>
      <c r="AP73" s="60">
        <f t="shared" si="90"/>
        <v>0</v>
      </c>
      <c r="AR73" s="60">
        <f t="shared" si="91"/>
        <v>0</v>
      </c>
      <c r="AS73" s="60">
        <f t="shared" si="92"/>
        <v>1687500</v>
      </c>
      <c r="AT73" s="60">
        <f t="shared" si="93"/>
        <v>0</v>
      </c>
      <c r="AU73" s="60">
        <f t="shared" si="94"/>
        <v>0</v>
      </c>
      <c r="AV73" s="60">
        <f t="shared" si="95"/>
        <v>1687500</v>
      </c>
    </row>
    <row r="74" spans="1:48" x14ac:dyDescent="0.25">
      <c r="A74" s="21" t="s">
        <v>66</v>
      </c>
      <c r="B74" s="63"/>
      <c r="C74" s="63">
        <f>3836*C21</f>
        <v>402780</v>
      </c>
      <c r="D74" s="63"/>
      <c r="E74" s="63"/>
      <c r="F74" s="60">
        <f t="shared" si="84"/>
        <v>402780</v>
      </c>
      <c r="H74" s="63"/>
      <c r="I74" s="63">
        <f>3836*I21</f>
        <v>402780</v>
      </c>
      <c r="J74" s="63"/>
      <c r="K74" s="63"/>
      <c r="L74" s="60">
        <f t="shared" si="85"/>
        <v>402780</v>
      </c>
      <c r="N74" s="63"/>
      <c r="O74" s="63">
        <f>3836*O21</f>
        <v>1012704</v>
      </c>
      <c r="P74" s="63"/>
      <c r="Q74" s="63"/>
      <c r="R74" s="60">
        <f t="shared" si="86"/>
        <v>1012704</v>
      </c>
      <c r="T74" s="61"/>
      <c r="U74" s="61">
        <f>U21*3600</f>
        <v>198000</v>
      </c>
      <c r="V74" s="61"/>
      <c r="W74" s="61"/>
      <c r="X74" s="60">
        <f t="shared" si="87"/>
        <v>198000</v>
      </c>
      <c r="Y74" s="194"/>
      <c r="Z74" s="61"/>
      <c r="AA74" s="61">
        <v>0</v>
      </c>
      <c r="AB74" s="61"/>
      <c r="AC74" s="61"/>
      <c r="AD74" s="60">
        <f t="shared" si="88"/>
        <v>0</v>
      </c>
      <c r="AE74" s="194"/>
      <c r="AF74" s="61"/>
      <c r="AG74" s="61"/>
      <c r="AH74" s="61"/>
      <c r="AI74" s="61"/>
      <c r="AJ74" s="60">
        <f t="shared" si="89"/>
        <v>0</v>
      </c>
      <c r="AL74" s="61"/>
      <c r="AM74" s="61"/>
      <c r="AN74" s="61"/>
      <c r="AO74" s="61"/>
      <c r="AP74" s="60">
        <f t="shared" si="90"/>
        <v>0</v>
      </c>
      <c r="AR74" s="60">
        <f t="shared" si="91"/>
        <v>0</v>
      </c>
      <c r="AS74" s="60">
        <f t="shared" si="92"/>
        <v>2016264</v>
      </c>
      <c r="AT74" s="60">
        <f t="shared" si="93"/>
        <v>0</v>
      </c>
      <c r="AU74" s="60">
        <f t="shared" si="94"/>
        <v>0</v>
      </c>
      <c r="AV74" s="60">
        <f t="shared" si="95"/>
        <v>2016264</v>
      </c>
    </row>
    <row r="75" spans="1:48" x14ac:dyDescent="0.25">
      <c r="A75" s="21" t="s">
        <v>67</v>
      </c>
      <c r="B75" s="63"/>
      <c r="C75" s="63">
        <v>105981</v>
      </c>
      <c r="D75" s="63"/>
      <c r="E75" s="63"/>
      <c r="F75" s="60">
        <f t="shared" si="84"/>
        <v>105981</v>
      </c>
      <c r="H75" s="63"/>
      <c r="I75" s="63">
        <v>105981</v>
      </c>
      <c r="J75" s="63"/>
      <c r="K75" s="63"/>
      <c r="L75" s="60">
        <f t="shared" si="85"/>
        <v>105981</v>
      </c>
      <c r="N75" s="63"/>
      <c r="O75" s="63">
        <v>239137</v>
      </c>
      <c r="P75" s="63"/>
      <c r="Q75" s="63"/>
      <c r="R75" s="60">
        <f t="shared" si="86"/>
        <v>239137</v>
      </c>
      <c r="T75" s="61"/>
      <c r="U75" s="63">
        <f>951*U21</f>
        <v>52305</v>
      </c>
      <c r="V75" s="61"/>
      <c r="W75" s="61"/>
      <c r="X75" s="60">
        <f t="shared" si="87"/>
        <v>52305</v>
      </c>
      <c r="Y75" s="194"/>
      <c r="Z75" s="61"/>
      <c r="AA75" s="63">
        <f>951*AA21</f>
        <v>47550</v>
      </c>
      <c r="AB75" s="61"/>
      <c r="AC75" s="61"/>
      <c r="AD75" s="60">
        <f t="shared" si="88"/>
        <v>47550</v>
      </c>
      <c r="AE75" s="194"/>
      <c r="AF75" s="61"/>
      <c r="AG75" s="63">
        <f>951*AG21</f>
        <v>0</v>
      </c>
      <c r="AH75" s="61"/>
      <c r="AI75" s="61"/>
      <c r="AJ75" s="60">
        <f t="shared" si="89"/>
        <v>0</v>
      </c>
      <c r="AL75" s="61"/>
      <c r="AM75" s="61"/>
      <c r="AN75" s="61"/>
      <c r="AO75" s="61"/>
      <c r="AP75" s="60">
        <f t="shared" si="90"/>
        <v>0</v>
      </c>
      <c r="AR75" s="60">
        <f t="shared" si="91"/>
        <v>0</v>
      </c>
      <c r="AS75" s="60">
        <f t="shared" si="92"/>
        <v>550954</v>
      </c>
      <c r="AT75" s="60">
        <f t="shared" si="93"/>
        <v>0</v>
      </c>
      <c r="AU75" s="60">
        <f t="shared" si="94"/>
        <v>0</v>
      </c>
      <c r="AV75" s="60">
        <f t="shared" si="95"/>
        <v>550954</v>
      </c>
    </row>
    <row r="76" spans="1:48" x14ac:dyDescent="0.25">
      <c r="A76" s="21" t="s">
        <v>68</v>
      </c>
      <c r="B76" s="61">
        <v>70000</v>
      </c>
      <c r="C76" s="63"/>
      <c r="D76" s="63"/>
      <c r="E76" s="63"/>
      <c r="F76" s="60">
        <f t="shared" si="84"/>
        <v>70000</v>
      </c>
      <c r="H76" s="61">
        <v>70000</v>
      </c>
      <c r="I76" s="63"/>
      <c r="J76" s="63"/>
      <c r="K76" s="63"/>
      <c r="L76" s="60">
        <f t="shared" si="85"/>
        <v>70000</v>
      </c>
      <c r="N76" s="61">
        <v>80000</v>
      </c>
      <c r="O76" s="63"/>
      <c r="P76" s="63"/>
      <c r="Q76" s="63"/>
      <c r="R76" s="60">
        <f t="shared" si="86"/>
        <v>80000</v>
      </c>
      <c r="T76" s="61">
        <v>30000</v>
      </c>
      <c r="U76" s="61"/>
      <c r="V76" s="61"/>
      <c r="W76" s="61"/>
      <c r="X76" s="60">
        <f t="shared" si="87"/>
        <v>30000</v>
      </c>
      <c r="Y76" s="194"/>
      <c r="Z76" s="61">
        <v>10000</v>
      </c>
      <c r="AA76" s="61"/>
      <c r="AB76" s="61"/>
      <c r="AC76" s="61"/>
      <c r="AD76" s="60">
        <f t="shared" si="88"/>
        <v>10000</v>
      </c>
      <c r="AE76" s="194"/>
      <c r="AF76" s="61">
        <v>0</v>
      </c>
      <c r="AG76" s="61"/>
      <c r="AH76" s="61"/>
      <c r="AI76" s="61"/>
      <c r="AJ76" s="60">
        <f t="shared" si="89"/>
        <v>0</v>
      </c>
      <c r="AL76" s="61"/>
      <c r="AM76" s="61"/>
      <c r="AN76" s="61"/>
      <c r="AO76" s="61"/>
      <c r="AP76" s="60">
        <f t="shared" si="90"/>
        <v>0</v>
      </c>
      <c r="AR76" s="60">
        <f t="shared" si="91"/>
        <v>260000</v>
      </c>
      <c r="AS76" s="60">
        <f t="shared" si="92"/>
        <v>0</v>
      </c>
      <c r="AT76" s="60">
        <f t="shared" si="93"/>
        <v>0</v>
      </c>
      <c r="AU76" s="60">
        <f t="shared" si="94"/>
        <v>0</v>
      </c>
      <c r="AV76" s="60">
        <f t="shared" si="95"/>
        <v>260000</v>
      </c>
    </row>
    <row r="77" spans="1:48" x14ac:dyDescent="0.25">
      <c r="A77" s="21" t="s">
        <v>69</v>
      </c>
      <c r="B77" s="63"/>
      <c r="C77" s="63"/>
      <c r="D77" s="63"/>
      <c r="E77" s="63"/>
      <c r="F77" s="60">
        <f t="shared" si="84"/>
        <v>0</v>
      </c>
      <c r="H77" s="63"/>
      <c r="I77" s="63"/>
      <c r="J77" s="63"/>
      <c r="K77" s="63"/>
      <c r="L77" s="60">
        <f t="shared" si="85"/>
        <v>0</v>
      </c>
      <c r="N77" s="63"/>
      <c r="O77" s="63"/>
      <c r="P77" s="63"/>
      <c r="Q77" s="63"/>
      <c r="R77" s="60">
        <f t="shared" si="86"/>
        <v>0</v>
      </c>
      <c r="T77" s="61"/>
      <c r="U77" s="61"/>
      <c r="V77" s="61"/>
      <c r="W77" s="61"/>
      <c r="X77" s="60">
        <f t="shared" si="87"/>
        <v>0</v>
      </c>
      <c r="Y77" s="194"/>
      <c r="Z77" s="61"/>
      <c r="AA77" s="61"/>
      <c r="AB77" s="61"/>
      <c r="AC77" s="61"/>
      <c r="AD77" s="60">
        <f t="shared" si="88"/>
        <v>0</v>
      </c>
      <c r="AE77" s="194"/>
      <c r="AF77" s="61"/>
      <c r="AG77" s="61"/>
      <c r="AH77" s="61"/>
      <c r="AI77" s="61"/>
      <c r="AJ77" s="60">
        <f t="shared" si="89"/>
        <v>0</v>
      </c>
      <c r="AL77" s="61"/>
      <c r="AM77" s="61"/>
      <c r="AN77" s="61"/>
      <c r="AO77" s="61">
        <v>1993322</v>
      </c>
      <c r="AP77" s="60">
        <f t="shared" si="90"/>
        <v>1993322</v>
      </c>
      <c r="AR77" s="60">
        <f t="shared" si="91"/>
        <v>0</v>
      </c>
      <c r="AS77" s="60">
        <f t="shared" si="92"/>
        <v>0</v>
      </c>
      <c r="AT77" s="60">
        <f t="shared" si="93"/>
        <v>0</v>
      </c>
      <c r="AU77" s="60">
        <f t="shared" si="94"/>
        <v>1993322</v>
      </c>
      <c r="AV77" s="60">
        <f t="shared" si="95"/>
        <v>1993322</v>
      </c>
    </row>
    <row r="78" spans="1:48" x14ac:dyDescent="0.25">
      <c r="A78" s="21" t="s">
        <v>70</v>
      </c>
      <c r="B78" s="63"/>
      <c r="C78" s="63"/>
      <c r="D78" s="63"/>
      <c r="E78" s="63"/>
      <c r="F78" s="60">
        <f t="shared" si="84"/>
        <v>0</v>
      </c>
      <c r="H78" s="63"/>
      <c r="I78" s="63"/>
      <c r="J78" s="63"/>
      <c r="K78" s="63"/>
      <c r="L78" s="60">
        <f t="shared" si="85"/>
        <v>0</v>
      </c>
      <c r="N78" s="63"/>
      <c r="O78" s="63"/>
      <c r="P78" s="63"/>
      <c r="Q78" s="63"/>
      <c r="R78" s="60">
        <f t="shared" si="86"/>
        <v>0</v>
      </c>
      <c r="T78" s="61"/>
      <c r="U78" s="61"/>
      <c r="V78" s="61"/>
      <c r="W78" s="61"/>
      <c r="X78" s="60">
        <f t="shared" si="87"/>
        <v>0</v>
      </c>
      <c r="Y78" s="194"/>
      <c r="Z78" s="61"/>
      <c r="AA78" s="61"/>
      <c r="AB78" s="61"/>
      <c r="AC78" s="61"/>
      <c r="AD78" s="60">
        <f t="shared" si="88"/>
        <v>0</v>
      </c>
      <c r="AE78" s="194"/>
      <c r="AF78" s="61"/>
      <c r="AG78" s="61"/>
      <c r="AH78" s="61"/>
      <c r="AI78" s="61"/>
      <c r="AJ78" s="60">
        <f t="shared" si="89"/>
        <v>0</v>
      </c>
      <c r="AL78" s="61"/>
      <c r="AM78" s="61"/>
      <c r="AN78" s="61"/>
      <c r="AO78" s="61"/>
      <c r="AP78" s="60">
        <f t="shared" si="90"/>
        <v>0</v>
      </c>
      <c r="AR78" s="60">
        <f t="shared" si="91"/>
        <v>0</v>
      </c>
      <c r="AS78" s="60">
        <f t="shared" si="92"/>
        <v>0</v>
      </c>
      <c r="AT78" s="60">
        <f t="shared" si="93"/>
        <v>0</v>
      </c>
      <c r="AU78" s="60">
        <f t="shared" si="94"/>
        <v>0</v>
      </c>
      <c r="AV78" s="60">
        <f t="shared" si="95"/>
        <v>0</v>
      </c>
    </row>
    <row r="79" spans="1:48" x14ac:dyDescent="0.25">
      <c r="A79" s="21" t="s">
        <v>71</v>
      </c>
      <c r="B79" s="63"/>
      <c r="C79" s="63"/>
      <c r="D79" s="63"/>
      <c r="E79" s="63"/>
      <c r="F79" s="60">
        <f t="shared" si="84"/>
        <v>0</v>
      </c>
      <c r="H79" s="63"/>
      <c r="I79" s="63"/>
      <c r="J79" s="63"/>
      <c r="K79" s="63"/>
      <c r="L79" s="60">
        <f t="shared" si="85"/>
        <v>0</v>
      </c>
      <c r="N79" s="63"/>
      <c r="O79" s="63"/>
      <c r="P79" s="63"/>
      <c r="Q79" s="63"/>
      <c r="R79" s="60">
        <f t="shared" si="86"/>
        <v>0</v>
      </c>
      <c r="T79" s="61"/>
      <c r="U79" s="61"/>
      <c r="V79" s="61"/>
      <c r="W79" s="61"/>
      <c r="X79" s="60">
        <f t="shared" si="87"/>
        <v>0</v>
      </c>
      <c r="Y79" s="194"/>
      <c r="Z79" s="61"/>
      <c r="AA79" s="61"/>
      <c r="AB79" s="61"/>
      <c r="AC79" s="61"/>
      <c r="AD79" s="60">
        <f t="shared" si="88"/>
        <v>0</v>
      </c>
      <c r="AE79" s="194"/>
      <c r="AF79" s="61"/>
      <c r="AG79" s="61"/>
      <c r="AH79" s="61"/>
      <c r="AI79" s="61"/>
      <c r="AJ79" s="60">
        <f t="shared" si="89"/>
        <v>0</v>
      </c>
      <c r="AL79" s="61"/>
      <c r="AM79" s="61"/>
      <c r="AN79" s="61"/>
      <c r="AO79" s="61"/>
      <c r="AP79" s="60">
        <f t="shared" si="90"/>
        <v>0</v>
      </c>
      <c r="AR79" s="60">
        <f t="shared" si="91"/>
        <v>0</v>
      </c>
      <c r="AS79" s="60">
        <f t="shared" si="92"/>
        <v>0</v>
      </c>
      <c r="AT79" s="60">
        <f t="shared" si="93"/>
        <v>0</v>
      </c>
      <c r="AU79" s="60">
        <f t="shared" si="94"/>
        <v>0</v>
      </c>
      <c r="AV79" s="60">
        <f t="shared" si="95"/>
        <v>0</v>
      </c>
    </row>
    <row r="80" spans="1:48" x14ac:dyDescent="0.25">
      <c r="A80" s="21" t="s">
        <v>72</v>
      </c>
      <c r="B80" s="63"/>
      <c r="C80" s="63"/>
      <c r="D80" s="61">
        <f>(((950*0.9923)*180)*2.89)+(((950*0.0077)*180)*0.26)</f>
        <v>490727.07899999997</v>
      </c>
      <c r="E80" s="63"/>
      <c r="F80" s="60">
        <f t="shared" si="84"/>
        <v>490727.07899999997</v>
      </c>
      <c r="H80" s="63"/>
      <c r="I80" s="63"/>
      <c r="J80" s="61">
        <f>(((875*0.9923)*180)*2.89)+(((875*0.0077)*180)*0.26)</f>
        <v>451985.46750000003</v>
      </c>
      <c r="K80" s="63"/>
      <c r="L80" s="60">
        <f t="shared" si="85"/>
        <v>451985.46750000003</v>
      </c>
      <c r="N80" s="63"/>
      <c r="O80" s="63"/>
      <c r="P80" s="61">
        <f>(((1100*0.9923)*180)*2.89)+(((1100*0.0077)*180)*0.27)</f>
        <v>568225.54799999995</v>
      </c>
      <c r="Q80" s="63"/>
      <c r="R80" s="60">
        <f t="shared" si="86"/>
        <v>568225.54799999995</v>
      </c>
      <c r="T80" s="61"/>
      <c r="U80" s="61"/>
      <c r="V80" s="61">
        <f>330*2.4*180</f>
        <v>142560</v>
      </c>
      <c r="W80" s="61"/>
      <c r="X80" s="60">
        <f t="shared" si="87"/>
        <v>142560</v>
      </c>
      <c r="Y80" s="194"/>
      <c r="Z80" s="61"/>
      <c r="AA80" s="61"/>
      <c r="AB80" s="61">
        <f>400*2.4*180</f>
        <v>172800</v>
      </c>
      <c r="AC80" s="61"/>
      <c r="AD80" s="60">
        <f t="shared" si="88"/>
        <v>172800</v>
      </c>
      <c r="AE80" s="194"/>
      <c r="AF80" s="61"/>
      <c r="AG80" s="61"/>
      <c r="AH80" s="61">
        <v>0</v>
      </c>
      <c r="AI80" s="61"/>
      <c r="AJ80" s="60">
        <f t="shared" si="89"/>
        <v>0</v>
      </c>
      <c r="AL80" s="61"/>
      <c r="AM80" s="61"/>
      <c r="AN80" s="61"/>
      <c r="AO80" s="61"/>
      <c r="AP80" s="60">
        <f t="shared" si="90"/>
        <v>0</v>
      </c>
      <c r="AR80" s="60">
        <f t="shared" si="91"/>
        <v>0</v>
      </c>
      <c r="AS80" s="60">
        <f t="shared" si="92"/>
        <v>0</v>
      </c>
      <c r="AT80" s="60">
        <f t="shared" si="93"/>
        <v>1826298.0944999999</v>
      </c>
      <c r="AU80" s="60">
        <f t="shared" si="94"/>
        <v>0</v>
      </c>
      <c r="AV80" s="60">
        <f t="shared" si="95"/>
        <v>1826298.0944999999</v>
      </c>
    </row>
    <row r="81" spans="1:48" x14ac:dyDescent="0.25">
      <c r="A81" s="22" t="s">
        <v>73</v>
      </c>
      <c r="B81" s="64"/>
      <c r="C81" s="64"/>
      <c r="D81" s="61">
        <f>(((805*0.9923)*4.57)*180)+(((805*0.0077)*0.56)*180)</f>
        <v>657718.9227</v>
      </c>
      <c r="E81" s="64"/>
      <c r="F81" s="60">
        <f t="shared" si="84"/>
        <v>657718.9227</v>
      </c>
      <c r="H81" s="64"/>
      <c r="I81" s="64"/>
      <c r="J81" s="61">
        <f>(((600*0.9923)*4.57)*180)+(((600*0.0077)*0.56)*180)</f>
        <v>490225.28400000004</v>
      </c>
      <c r="K81" s="64"/>
      <c r="L81" s="60">
        <f t="shared" si="85"/>
        <v>490225.28400000004</v>
      </c>
      <c r="N81" s="64"/>
      <c r="O81" s="64"/>
      <c r="P81" s="61">
        <f>(((1100*0.9923)*4.57)*180)+(((1100*0.0077)*0.56)*180)</f>
        <v>898746.35400000005</v>
      </c>
      <c r="Q81" s="64"/>
      <c r="R81" s="60">
        <f t="shared" si="86"/>
        <v>898746.35400000005</v>
      </c>
      <c r="T81" s="91"/>
      <c r="U81" s="91"/>
      <c r="V81" s="61">
        <f>330*4.45*180</f>
        <v>264330</v>
      </c>
      <c r="W81" s="91"/>
      <c r="X81" s="60">
        <f t="shared" si="87"/>
        <v>264330</v>
      </c>
      <c r="Y81" s="194"/>
      <c r="Z81" s="91"/>
      <c r="AA81" s="91"/>
      <c r="AB81" s="61">
        <f>430*4.45*180</f>
        <v>344430</v>
      </c>
      <c r="AC81" s="91"/>
      <c r="AD81" s="60">
        <f t="shared" si="88"/>
        <v>344430</v>
      </c>
      <c r="AE81" s="194"/>
      <c r="AF81" s="91"/>
      <c r="AG81" s="91"/>
      <c r="AH81" s="61">
        <v>0</v>
      </c>
      <c r="AI81" s="91"/>
      <c r="AJ81" s="60">
        <f t="shared" si="89"/>
        <v>0</v>
      </c>
      <c r="AL81" s="91"/>
      <c r="AM81" s="91"/>
      <c r="AN81" s="61"/>
      <c r="AO81" s="91"/>
      <c r="AP81" s="60">
        <f t="shared" si="90"/>
        <v>0</v>
      </c>
      <c r="AR81" s="60">
        <f t="shared" si="91"/>
        <v>0</v>
      </c>
      <c r="AS81" s="60">
        <f t="shared" si="92"/>
        <v>0</v>
      </c>
      <c r="AT81" s="60">
        <f t="shared" si="93"/>
        <v>2655450.5607000003</v>
      </c>
      <c r="AU81" s="60">
        <f t="shared" si="94"/>
        <v>0</v>
      </c>
      <c r="AV81" s="60">
        <f t="shared" si="95"/>
        <v>2655450.5607000003</v>
      </c>
    </row>
    <row r="82" spans="1:48" x14ac:dyDescent="0.25">
      <c r="A82" s="23"/>
      <c r="B82" s="65">
        <f>SUM(B68:B81)</f>
        <v>11739729</v>
      </c>
      <c r="C82" s="65">
        <f t="shared" ref="C82:F82" si="96">SUM(C68:C81)</f>
        <v>895511</v>
      </c>
      <c r="D82" s="65">
        <f t="shared" si="96"/>
        <v>1148446.0016999999</v>
      </c>
      <c r="E82" s="65">
        <f t="shared" si="96"/>
        <v>0</v>
      </c>
      <c r="F82" s="65">
        <f t="shared" si="96"/>
        <v>13783686.001699999</v>
      </c>
      <c r="H82" s="65">
        <f>SUM(H68:H81)</f>
        <v>11731317</v>
      </c>
      <c r="I82" s="65">
        <f t="shared" ref="I82:L82" si="97">SUM(I68:I81)</f>
        <v>895511</v>
      </c>
      <c r="J82" s="65">
        <f t="shared" si="97"/>
        <v>942210.75150000001</v>
      </c>
      <c r="K82" s="65">
        <f t="shared" si="97"/>
        <v>0</v>
      </c>
      <c r="L82" s="65">
        <f t="shared" si="97"/>
        <v>13569038.751499999</v>
      </c>
      <c r="N82" s="65">
        <f>SUM(N68:N81)</f>
        <v>27387423</v>
      </c>
      <c r="O82" s="65">
        <f t="shared" ref="O82:R82" si="98">SUM(O68:O81)</f>
        <v>2165841</v>
      </c>
      <c r="P82" s="65">
        <f t="shared" si="98"/>
        <v>1466971.902</v>
      </c>
      <c r="Q82" s="65">
        <f t="shared" si="98"/>
        <v>0</v>
      </c>
      <c r="R82" s="65">
        <f t="shared" si="98"/>
        <v>31020235.901999999</v>
      </c>
      <c r="T82" s="65">
        <f t="shared" ref="T82:W82" si="99">SUM(T68:T81)</f>
        <v>5527334.7750000004</v>
      </c>
      <c r="U82" s="65">
        <f t="shared" si="99"/>
        <v>250305</v>
      </c>
      <c r="V82" s="65">
        <f t="shared" si="99"/>
        <v>406890</v>
      </c>
      <c r="W82" s="65">
        <f t="shared" si="99"/>
        <v>0</v>
      </c>
      <c r="X82" s="65">
        <f t="shared" ref="X82" si="100">SUM(X68:X81)</f>
        <v>6184529.7750000004</v>
      </c>
      <c r="Y82" s="199"/>
      <c r="Z82" s="65">
        <f t="shared" ref="Z82:AD82" si="101">SUM(Z68:Z81)</f>
        <v>4079494</v>
      </c>
      <c r="AA82" s="65">
        <f t="shared" si="101"/>
        <v>47550</v>
      </c>
      <c r="AB82" s="65">
        <f t="shared" si="101"/>
        <v>517230</v>
      </c>
      <c r="AC82" s="65">
        <f t="shared" si="101"/>
        <v>0</v>
      </c>
      <c r="AD82" s="65">
        <f t="shared" si="101"/>
        <v>4644274</v>
      </c>
      <c r="AE82" s="199"/>
      <c r="AF82" s="65">
        <f t="shared" ref="AF82:AJ82" si="102">SUM(AF68:AF81)</f>
        <v>0</v>
      </c>
      <c r="AG82" s="65">
        <f t="shared" si="102"/>
        <v>0</v>
      </c>
      <c r="AH82" s="65">
        <f t="shared" si="102"/>
        <v>0</v>
      </c>
      <c r="AI82" s="65">
        <f t="shared" si="102"/>
        <v>0</v>
      </c>
      <c r="AJ82" s="65">
        <f t="shared" si="102"/>
        <v>0</v>
      </c>
      <c r="AL82" s="65">
        <f>SUM(AL68:AL81)</f>
        <v>0</v>
      </c>
      <c r="AM82" s="65">
        <f t="shared" ref="AM82:AN82" si="103">SUM(AM68:AM81)</f>
        <v>0</v>
      </c>
      <c r="AN82" s="65">
        <f t="shared" si="103"/>
        <v>0</v>
      </c>
      <c r="AO82" s="65">
        <f t="shared" ref="AO82" si="104">SUM(AO68:AO81)</f>
        <v>1993322</v>
      </c>
      <c r="AP82" s="65">
        <f t="shared" ref="AP82" si="105">SUM(AP68:AP81)</f>
        <v>1993322</v>
      </c>
      <c r="AR82" s="65">
        <f>SUM(AR68:AR81)</f>
        <v>60465297.774999999</v>
      </c>
      <c r="AS82" s="65">
        <f t="shared" ref="AS82:AV82" si="106">SUM(AS68:AS81)</f>
        <v>4254718</v>
      </c>
      <c r="AT82" s="65">
        <f t="shared" si="106"/>
        <v>4481748.6551999999</v>
      </c>
      <c r="AU82" s="65">
        <f t="shared" si="106"/>
        <v>1993322</v>
      </c>
      <c r="AV82" s="65">
        <f t="shared" si="106"/>
        <v>71195086.430199996</v>
      </c>
    </row>
    <row r="83" spans="1:48" x14ac:dyDescent="0.25">
      <c r="B83" s="57"/>
      <c r="C83" s="57"/>
      <c r="D83" s="57"/>
      <c r="E83" s="57"/>
      <c r="F83" s="57"/>
      <c r="H83" s="57"/>
      <c r="I83" s="57"/>
      <c r="J83" s="57"/>
      <c r="K83" s="57"/>
      <c r="L83" s="57"/>
      <c r="N83" s="57"/>
      <c r="O83" s="57"/>
      <c r="P83" s="57"/>
      <c r="Q83" s="57"/>
      <c r="R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L83" s="57"/>
      <c r="AM83" s="57"/>
      <c r="AN83" s="57"/>
      <c r="AO83" s="57"/>
      <c r="AP83" s="57"/>
      <c r="AR83" s="57"/>
      <c r="AS83" s="57"/>
      <c r="AT83" s="57"/>
      <c r="AU83" s="57"/>
      <c r="AV83" s="57"/>
    </row>
    <row r="84" spans="1:48" x14ac:dyDescent="0.25">
      <c r="A84" s="24"/>
      <c r="B84" s="66" t="s">
        <v>157</v>
      </c>
      <c r="C84" s="66" t="s">
        <v>158</v>
      </c>
      <c r="D84" s="66" t="s">
        <v>159</v>
      </c>
      <c r="E84" s="67" t="str">
        <f>E67</f>
        <v>Other</v>
      </c>
      <c r="F84" s="67" t="str">
        <f>F67</f>
        <v>FY27- Mtn</v>
      </c>
      <c r="H84" s="66" t="s">
        <v>157</v>
      </c>
      <c r="I84" s="66" t="s">
        <v>158</v>
      </c>
      <c r="J84" s="66" t="s">
        <v>159</v>
      </c>
      <c r="K84" s="67" t="str">
        <f>K67</f>
        <v>Other</v>
      </c>
      <c r="L84" s="67" t="str">
        <f>L67</f>
        <v>FY27- Bon</v>
      </c>
      <c r="N84" s="66" t="s">
        <v>157</v>
      </c>
      <c r="O84" s="66" t="s">
        <v>158</v>
      </c>
      <c r="P84" s="66" t="s">
        <v>159</v>
      </c>
      <c r="Q84" s="67" t="str">
        <f>Q67</f>
        <v>Other</v>
      </c>
      <c r="R84" s="67" t="str">
        <f>R67</f>
        <v>FY27- East</v>
      </c>
      <c r="T84" s="66" t="s">
        <v>157</v>
      </c>
      <c r="U84" s="66" t="s">
        <v>158</v>
      </c>
      <c r="V84" s="66" t="s">
        <v>159</v>
      </c>
      <c r="W84" s="67" t="str">
        <f>W67</f>
        <v>Other</v>
      </c>
      <c r="X84" s="67" t="str">
        <f>X67</f>
        <v>FY27- Cactus</v>
      </c>
      <c r="Y84" s="198"/>
      <c r="Z84" s="66" t="s">
        <v>157</v>
      </c>
      <c r="AA84" s="66" t="s">
        <v>158</v>
      </c>
      <c r="AB84" s="66" t="s">
        <v>159</v>
      </c>
      <c r="AC84" s="67" t="str">
        <f>AC67</f>
        <v>Other</v>
      </c>
      <c r="AD84" s="67" t="str">
        <f>AD67</f>
        <v>FY27- Sahara</v>
      </c>
      <c r="AE84" s="198"/>
      <c r="AF84" s="66" t="s">
        <v>157</v>
      </c>
      <c r="AG84" s="66" t="s">
        <v>158</v>
      </c>
      <c r="AH84" s="66" t="s">
        <v>159</v>
      </c>
      <c r="AI84" s="67" t="str">
        <f>AI67</f>
        <v>Other</v>
      </c>
      <c r="AJ84" s="67" t="str">
        <f>AJ67</f>
        <v>FY27- VV</v>
      </c>
      <c r="AL84" s="66" t="s">
        <v>157</v>
      </c>
      <c r="AM84" s="66" t="s">
        <v>158</v>
      </c>
      <c r="AN84" s="66" t="s">
        <v>159</v>
      </c>
      <c r="AO84" s="67" t="str">
        <f>AO67</f>
        <v>Grant</v>
      </c>
      <c r="AP84" s="67" t="str">
        <f>AP67</f>
        <v>FY27 - Central</v>
      </c>
      <c r="AR84" s="66" t="s">
        <v>157</v>
      </c>
      <c r="AS84" s="66" t="s">
        <v>158</v>
      </c>
      <c r="AT84" s="66" t="s">
        <v>159</v>
      </c>
      <c r="AU84" s="67" t="str">
        <f>AU67</f>
        <v>Other</v>
      </c>
      <c r="AV84" s="67" t="str">
        <f>AV67</f>
        <v>FY27- Sys</v>
      </c>
    </row>
    <row r="85" spans="1:48" x14ac:dyDescent="0.25">
      <c r="A85" s="20" t="s">
        <v>74</v>
      </c>
      <c r="B85" s="68"/>
      <c r="C85" s="68"/>
      <c r="D85" s="68"/>
      <c r="E85" s="68"/>
      <c r="F85" s="68"/>
      <c r="H85" s="68"/>
      <c r="I85" s="68"/>
      <c r="J85" s="68"/>
      <c r="K85" s="68"/>
      <c r="L85" s="68"/>
      <c r="N85" s="75"/>
      <c r="O85" s="75"/>
      <c r="P85" s="75"/>
      <c r="Q85" s="75"/>
      <c r="R85" s="75">
        <f>SUM(N85:Q85)</f>
        <v>0</v>
      </c>
      <c r="T85" s="68"/>
      <c r="U85" s="68"/>
      <c r="V85" s="68"/>
      <c r="W85" s="68"/>
      <c r="X85" s="68"/>
      <c r="Y85" s="57"/>
      <c r="Z85" s="68"/>
      <c r="AA85" s="68"/>
      <c r="AB85" s="68"/>
      <c r="AC85" s="68"/>
      <c r="AD85" s="68"/>
      <c r="AE85" s="57"/>
      <c r="AF85" s="68"/>
      <c r="AG85" s="68"/>
      <c r="AH85" s="68"/>
      <c r="AI85" s="68"/>
      <c r="AJ85" s="68"/>
      <c r="AL85" s="75"/>
      <c r="AM85" s="75"/>
      <c r="AN85" s="75"/>
      <c r="AO85" s="75"/>
      <c r="AP85" s="68"/>
      <c r="AR85" s="75">
        <f>B85+H85+N85+T85+AL85+AF85+Z85</f>
        <v>0</v>
      </c>
      <c r="AS85" s="75">
        <f t="shared" ref="AS85:AU85" si="107">C85+I85+O85+U85+AM85+AG85+AA85</f>
        <v>0</v>
      </c>
      <c r="AT85" s="75">
        <f t="shared" si="107"/>
        <v>0</v>
      </c>
      <c r="AU85" s="75">
        <f t="shared" si="107"/>
        <v>0</v>
      </c>
      <c r="AV85" s="93">
        <f>SUM(AR85:AU85)</f>
        <v>0</v>
      </c>
    </row>
    <row r="86" spans="1:48" x14ac:dyDescent="0.25">
      <c r="A86" s="21" t="s">
        <v>75</v>
      </c>
      <c r="B86" s="69"/>
      <c r="C86" s="69"/>
      <c r="D86" s="69"/>
      <c r="E86" s="69"/>
      <c r="F86" s="69"/>
      <c r="H86" s="69"/>
      <c r="I86" s="69"/>
      <c r="J86" s="69"/>
      <c r="K86" s="69"/>
      <c r="L86" s="69"/>
      <c r="N86" s="63"/>
      <c r="O86" s="63"/>
      <c r="P86" s="63"/>
      <c r="Q86" s="63"/>
      <c r="R86" s="75">
        <f t="shared" ref="R86:R87" si="108">SUM(N86:Q86)</f>
        <v>0</v>
      </c>
      <c r="T86" s="69"/>
      <c r="U86" s="69"/>
      <c r="V86" s="69"/>
      <c r="W86" s="69"/>
      <c r="X86" s="69"/>
      <c r="Y86" s="57"/>
      <c r="Z86" s="69"/>
      <c r="AA86" s="69"/>
      <c r="AB86" s="69"/>
      <c r="AC86" s="69"/>
      <c r="AD86" s="69"/>
      <c r="AE86" s="57"/>
      <c r="AF86" s="69"/>
      <c r="AG86" s="69"/>
      <c r="AH86" s="69"/>
      <c r="AI86" s="69"/>
      <c r="AJ86" s="69"/>
      <c r="AL86" s="63"/>
      <c r="AM86" s="63"/>
      <c r="AN86" s="63"/>
      <c r="AO86" s="63"/>
      <c r="AP86" s="69"/>
      <c r="AR86" s="75">
        <f t="shared" ref="AR86:AR87" si="109">B86+H86+N86+T86+AL86+AF86+Z86</f>
        <v>0</v>
      </c>
      <c r="AS86" s="75">
        <f t="shared" ref="AS86:AS87" si="110">C86+I86+O86+U86+AM86+AG86+AA86</f>
        <v>0</v>
      </c>
      <c r="AT86" s="75">
        <f t="shared" ref="AT86:AT87" si="111">D86+J86+P86+V86+AN86+AH86+AB86</f>
        <v>0</v>
      </c>
      <c r="AU86" s="75">
        <f t="shared" ref="AU86:AU87" si="112">E86+K86+Q86+W86+AO86+AI86+AC86</f>
        <v>0</v>
      </c>
      <c r="AV86" s="93">
        <f t="shared" ref="AV86:AV87" si="113">SUM(AR86:AU86)</f>
        <v>0</v>
      </c>
    </row>
    <row r="87" spans="1:48" x14ac:dyDescent="0.25">
      <c r="A87" s="22" t="s">
        <v>76</v>
      </c>
      <c r="B87" s="70"/>
      <c r="C87" s="70"/>
      <c r="D87" s="70"/>
      <c r="E87" s="70"/>
      <c r="F87" s="70"/>
      <c r="H87" s="70"/>
      <c r="I87" s="70"/>
      <c r="J87" s="70"/>
      <c r="K87" s="70"/>
      <c r="L87" s="70"/>
      <c r="N87" s="64"/>
      <c r="O87" s="64"/>
      <c r="P87" s="64"/>
      <c r="Q87" s="64">
        <v>0</v>
      </c>
      <c r="R87" s="75">
        <f t="shared" si="108"/>
        <v>0</v>
      </c>
      <c r="T87" s="70"/>
      <c r="U87" s="70"/>
      <c r="V87" s="70"/>
      <c r="W87" s="70"/>
      <c r="X87" s="70"/>
      <c r="Y87" s="57"/>
      <c r="Z87" s="70"/>
      <c r="AA87" s="70"/>
      <c r="AB87" s="70"/>
      <c r="AC87" s="70"/>
      <c r="AD87" s="70"/>
      <c r="AE87" s="57"/>
      <c r="AF87" s="70"/>
      <c r="AG87" s="70"/>
      <c r="AH87" s="70"/>
      <c r="AI87" s="70"/>
      <c r="AJ87" s="70"/>
      <c r="AL87" s="64"/>
      <c r="AM87" s="64"/>
      <c r="AN87" s="64"/>
      <c r="AO87" s="64"/>
      <c r="AP87" s="70"/>
      <c r="AR87" s="75">
        <f t="shared" si="109"/>
        <v>0</v>
      </c>
      <c r="AS87" s="75">
        <f t="shared" si="110"/>
        <v>0</v>
      </c>
      <c r="AT87" s="75">
        <f t="shared" si="111"/>
        <v>0</v>
      </c>
      <c r="AU87" s="75">
        <f t="shared" si="112"/>
        <v>0</v>
      </c>
      <c r="AV87" s="93">
        <f t="shared" si="113"/>
        <v>0</v>
      </c>
    </row>
    <row r="88" spans="1:48" x14ac:dyDescent="0.25">
      <c r="A88" s="24"/>
      <c r="B88" s="71">
        <f>SUM(B85:B87)</f>
        <v>0</v>
      </c>
      <c r="C88" s="71">
        <f t="shared" ref="C88:F88" si="114">SUM(C85:C87)</f>
        <v>0</v>
      </c>
      <c r="D88" s="71">
        <f t="shared" si="114"/>
        <v>0</v>
      </c>
      <c r="E88" s="71">
        <f t="shared" si="114"/>
        <v>0</v>
      </c>
      <c r="F88" s="71">
        <f t="shared" si="114"/>
        <v>0</v>
      </c>
      <c r="H88" s="71">
        <f>SUM(H85:H87)</f>
        <v>0</v>
      </c>
      <c r="I88" s="71">
        <f t="shared" ref="I88:L88" si="115">SUM(I85:I87)</f>
        <v>0</v>
      </c>
      <c r="J88" s="71">
        <f t="shared" si="115"/>
        <v>0</v>
      </c>
      <c r="K88" s="71">
        <f t="shared" si="115"/>
        <v>0</v>
      </c>
      <c r="L88" s="71">
        <f t="shared" si="115"/>
        <v>0</v>
      </c>
      <c r="N88" s="88">
        <f>SUM(N85:N87)</f>
        <v>0</v>
      </c>
      <c r="O88" s="88">
        <f t="shared" ref="O88:R88" si="116">SUM(O85:O87)</f>
        <v>0</v>
      </c>
      <c r="P88" s="88">
        <f t="shared" si="116"/>
        <v>0</v>
      </c>
      <c r="Q88" s="88">
        <f t="shared" si="116"/>
        <v>0</v>
      </c>
      <c r="R88" s="88">
        <f t="shared" si="116"/>
        <v>0</v>
      </c>
      <c r="T88" s="71">
        <f t="shared" ref="T88:W88" si="117">SUM(T85:T87)</f>
        <v>0</v>
      </c>
      <c r="U88" s="71">
        <f t="shared" si="117"/>
        <v>0</v>
      </c>
      <c r="V88" s="71">
        <f t="shared" si="117"/>
        <v>0</v>
      </c>
      <c r="W88" s="71">
        <f t="shared" si="117"/>
        <v>0</v>
      </c>
      <c r="X88" s="71">
        <f t="shared" ref="X88" si="118">SUM(X85:X87)</f>
        <v>0</v>
      </c>
      <c r="Y88" s="200"/>
      <c r="Z88" s="71">
        <f t="shared" ref="Z88:AD88" si="119">SUM(Z85:Z87)</f>
        <v>0</v>
      </c>
      <c r="AA88" s="71">
        <f t="shared" si="119"/>
        <v>0</v>
      </c>
      <c r="AB88" s="71">
        <f t="shared" si="119"/>
        <v>0</v>
      </c>
      <c r="AC88" s="71">
        <f t="shared" si="119"/>
        <v>0</v>
      </c>
      <c r="AD88" s="71">
        <f t="shared" si="119"/>
        <v>0</v>
      </c>
      <c r="AE88" s="200"/>
      <c r="AF88" s="71">
        <f t="shared" ref="AF88:AJ88" si="120">SUM(AF85:AF87)</f>
        <v>0</v>
      </c>
      <c r="AG88" s="71">
        <f t="shared" si="120"/>
        <v>0</v>
      </c>
      <c r="AH88" s="71">
        <f t="shared" si="120"/>
        <v>0</v>
      </c>
      <c r="AI88" s="71">
        <f t="shared" si="120"/>
        <v>0</v>
      </c>
      <c r="AJ88" s="71">
        <f t="shared" si="120"/>
        <v>0</v>
      </c>
      <c r="AL88" s="88">
        <f>SUM(AL85:AL87)</f>
        <v>0</v>
      </c>
      <c r="AM88" s="88">
        <f t="shared" ref="AM88:AO88" si="121">SUM(AM85:AM87)</f>
        <v>0</v>
      </c>
      <c r="AN88" s="88">
        <f t="shared" si="121"/>
        <v>0</v>
      </c>
      <c r="AO88" s="88">
        <f t="shared" si="121"/>
        <v>0</v>
      </c>
      <c r="AP88" s="71">
        <f t="shared" ref="AP88" si="122">SUM(AP85:AP87)</f>
        <v>0</v>
      </c>
      <c r="AR88" s="88">
        <f>SUM(AR85:AR87)</f>
        <v>0</v>
      </c>
      <c r="AS88" s="88">
        <f t="shared" ref="AS88:AV88" si="123">SUM(AS85:AS87)</f>
        <v>0</v>
      </c>
      <c r="AT88" s="88">
        <f t="shared" si="123"/>
        <v>0</v>
      </c>
      <c r="AU88" s="88">
        <f t="shared" si="123"/>
        <v>0</v>
      </c>
      <c r="AV88" s="71">
        <f t="shared" si="123"/>
        <v>0</v>
      </c>
    </row>
    <row r="89" spans="1:48" x14ac:dyDescent="0.25">
      <c r="B89" s="57"/>
      <c r="C89" s="57"/>
      <c r="D89" s="57"/>
      <c r="E89" s="57"/>
      <c r="F89" s="57"/>
      <c r="H89" s="57"/>
      <c r="I89" s="57"/>
      <c r="J89" s="57"/>
      <c r="K89" s="57"/>
      <c r="L89" s="57"/>
      <c r="N89" s="57"/>
      <c r="O89" s="57"/>
      <c r="P89" s="57"/>
      <c r="Q89" s="57"/>
      <c r="R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L89" s="57"/>
      <c r="AM89" s="57"/>
      <c r="AN89" s="57"/>
      <c r="AO89" s="57"/>
      <c r="AP89" s="57"/>
      <c r="AR89" s="57"/>
      <c r="AS89" s="57"/>
      <c r="AT89" s="57"/>
      <c r="AU89" s="57"/>
      <c r="AV89" s="57"/>
    </row>
    <row r="90" spans="1:48" ht="16.5" thickBot="1" x14ac:dyDescent="0.3">
      <c r="B90" s="57"/>
      <c r="C90" s="57"/>
      <c r="D90" s="57"/>
      <c r="E90" s="57"/>
      <c r="F90" s="57"/>
      <c r="H90" s="57"/>
      <c r="I90" s="57"/>
      <c r="J90" s="57"/>
      <c r="K90" s="57"/>
      <c r="L90" s="57"/>
      <c r="N90" s="57"/>
      <c r="O90" s="57"/>
      <c r="P90" s="57"/>
      <c r="Q90" s="57"/>
      <c r="R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L90" s="57"/>
      <c r="AM90" s="57"/>
      <c r="AN90" s="57"/>
      <c r="AO90" s="57"/>
      <c r="AP90" s="57"/>
      <c r="AR90" s="57"/>
      <c r="AS90" s="57"/>
      <c r="AT90" s="57"/>
      <c r="AU90" s="57"/>
      <c r="AV90" s="57"/>
    </row>
    <row r="91" spans="1:48" x14ac:dyDescent="0.25">
      <c r="A91" s="25"/>
      <c r="B91" s="72" t="s">
        <v>157</v>
      </c>
      <c r="C91" s="72" t="s">
        <v>158</v>
      </c>
      <c r="D91" s="72" t="s">
        <v>159</v>
      </c>
      <c r="E91" s="73" t="str">
        <f>E84</f>
        <v>Other</v>
      </c>
      <c r="F91" s="73" t="str">
        <f>F84</f>
        <v>FY27- Mtn</v>
      </c>
      <c r="H91" s="72" t="s">
        <v>157</v>
      </c>
      <c r="I91" s="72" t="s">
        <v>158</v>
      </c>
      <c r="J91" s="72" t="s">
        <v>159</v>
      </c>
      <c r="K91" s="73" t="str">
        <f>K84</f>
        <v>Other</v>
      </c>
      <c r="L91" s="73" t="str">
        <f>L84</f>
        <v>FY27- Bon</v>
      </c>
      <c r="N91" s="72" t="s">
        <v>157</v>
      </c>
      <c r="O91" s="72" t="s">
        <v>158</v>
      </c>
      <c r="P91" s="72" t="s">
        <v>159</v>
      </c>
      <c r="Q91" s="73" t="str">
        <f>Q84</f>
        <v>Other</v>
      </c>
      <c r="R91" s="73" t="str">
        <f>R84</f>
        <v>FY27- East</v>
      </c>
      <c r="T91" s="72" t="s">
        <v>157</v>
      </c>
      <c r="U91" s="72" t="s">
        <v>158</v>
      </c>
      <c r="V91" s="72" t="s">
        <v>159</v>
      </c>
      <c r="W91" s="73" t="str">
        <f>W84</f>
        <v>Other</v>
      </c>
      <c r="X91" s="73" t="str">
        <f>X84</f>
        <v>FY27- Cactus</v>
      </c>
      <c r="Y91" s="198"/>
      <c r="Z91" s="72" t="s">
        <v>157</v>
      </c>
      <c r="AA91" s="72" t="s">
        <v>158</v>
      </c>
      <c r="AB91" s="72" t="s">
        <v>159</v>
      </c>
      <c r="AC91" s="73" t="str">
        <f>AC84</f>
        <v>Other</v>
      </c>
      <c r="AD91" s="73" t="str">
        <f>AD84</f>
        <v>FY27- Sahara</v>
      </c>
      <c r="AE91" s="198"/>
      <c r="AF91" s="72" t="s">
        <v>157</v>
      </c>
      <c r="AG91" s="72" t="s">
        <v>158</v>
      </c>
      <c r="AH91" s="72" t="s">
        <v>159</v>
      </c>
      <c r="AI91" s="73" t="str">
        <f>AI84</f>
        <v>Other</v>
      </c>
      <c r="AJ91" s="73" t="str">
        <f>AJ84</f>
        <v>FY27- VV</v>
      </c>
      <c r="AL91" s="72" t="s">
        <v>157</v>
      </c>
      <c r="AM91" s="72" t="s">
        <v>158</v>
      </c>
      <c r="AN91" s="72" t="s">
        <v>159</v>
      </c>
      <c r="AO91" s="73" t="str">
        <f>AO84</f>
        <v>Grant</v>
      </c>
      <c r="AP91" s="73" t="str">
        <f>AP84</f>
        <v>FY27 - Central</v>
      </c>
      <c r="AR91" s="72" t="s">
        <v>157</v>
      </c>
      <c r="AS91" s="72" t="s">
        <v>158</v>
      </c>
      <c r="AT91" s="72" t="s">
        <v>159</v>
      </c>
      <c r="AU91" s="73" t="str">
        <f>AU84</f>
        <v>Other</v>
      </c>
      <c r="AV91" s="73" t="str">
        <f>AV84</f>
        <v>FY27- Sys</v>
      </c>
    </row>
    <row r="92" spans="1:48" x14ac:dyDescent="0.25">
      <c r="A92" s="26"/>
      <c r="B92" s="74"/>
      <c r="C92" s="74"/>
      <c r="D92" s="74"/>
      <c r="E92" s="74"/>
      <c r="F92" s="74"/>
      <c r="H92" s="74"/>
      <c r="I92" s="74"/>
      <c r="J92" s="74"/>
      <c r="K92" s="74"/>
      <c r="L92" s="74"/>
      <c r="N92" s="74"/>
      <c r="O92" s="74"/>
      <c r="P92" s="74"/>
      <c r="Q92" s="74"/>
      <c r="R92" s="74"/>
      <c r="T92" s="74"/>
      <c r="U92" s="74"/>
      <c r="V92" s="74"/>
      <c r="W92" s="74"/>
      <c r="X92" s="74"/>
      <c r="Y92" s="57"/>
      <c r="Z92" s="74"/>
      <c r="AA92" s="74"/>
      <c r="AB92" s="74"/>
      <c r="AC92" s="74"/>
      <c r="AD92" s="74"/>
      <c r="AE92" s="57"/>
      <c r="AF92" s="74"/>
      <c r="AG92" s="74"/>
      <c r="AH92" s="74"/>
      <c r="AI92" s="74"/>
      <c r="AJ92" s="74"/>
      <c r="AL92" s="74"/>
      <c r="AM92" s="74"/>
      <c r="AN92" s="74"/>
      <c r="AO92" s="74"/>
      <c r="AP92" s="74"/>
      <c r="AR92" s="74"/>
      <c r="AS92" s="74"/>
      <c r="AT92" s="74"/>
      <c r="AU92" s="74"/>
      <c r="AV92" s="74"/>
    </row>
    <row r="93" spans="1:48" x14ac:dyDescent="0.25">
      <c r="A93" s="20" t="s">
        <v>34</v>
      </c>
      <c r="B93" s="75">
        <f>170100*1.01</f>
        <v>171801</v>
      </c>
      <c r="C93" s="75"/>
      <c r="D93" s="75"/>
      <c r="E93" s="75"/>
      <c r="F93" s="75">
        <f>SUM(B93:E93)</f>
        <v>171801</v>
      </c>
      <c r="H93" s="75">
        <f>170100*1.01</f>
        <v>171801</v>
      </c>
      <c r="I93" s="75"/>
      <c r="J93" s="75"/>
      <c r="K93" s="75"/>
      <c r="L93" s="75">
        <f>SUM(H93:K93)</f>
        <v>171801</v>
      </c>
      <c r="N93" s="75">
        <f>225750*1.01</f>
        <v>228007.5</v>
      </c>
      <c r="O93" s="75"/>
      <c r="P93" s="75"/>
      <c r="Q93" s="75"/>
      <c r="R93" s="75">
        <f>SUM(N93:Q93)</f>
        <v>228007.5</v>
      </c>
      <c r="T93" s="75">
        <f>125000*1.01</f>
        <v>126250</v>
      </c>
      <c r="U93" s="75"/>
      <c r="V93" s="75"/>
      <c r="W93" s="75"/>
      <c r="X93" s="75">
        <f>SUM(T93:W93)</f>
        <v>126250</v>
      </c>
      <c r="Y93" s="194"/>
      <c r="Z93" s="75">
        <v>135000</v>
      </c>
      <c r="AA93" s="75"/>
      <c r="AB93" s="75"/>
      <c r="AC93" s="75"/>
      <c r="AD93" s="75">
        <f>SUM(Z93:AC93)</f>
        <v>135000</v>
      </c>
      <c r="AE93" s="194"/>
      <c r="AF93" s="75">
        <v>0</v>
      </c>
      <c r="AG93" s="75"/>
      <c r="AH93" s="75"/>
      <c r="AI93" s="75"/>
      <c r="AJ93" s="75">
        <f>SUM(AF93:AI93)</f>
        <v>0</v>
      </c>
      <c r="AL93" s="75"/>
      <c r="AM93" s="75"/>
      <c r="AN93" s="75"/>
      <c r="AO93" s="75"/>
      <c r="AP93" s="75">
        <f>SUM(AL93:AO93)</f>
        <v>0</v>
      </c>
      <c r="AR93" s="75">
        <f>B93+H93+N93+T93+AL93+AF93+Z93</f>
        <v>832859.5</v>
      </c>
      <c r="AS93" s="75">
        <f t="shared" ref="AS93:AU93" si="124">C93+I93+O93+U93+AM93+AG93+AA93</f>
        <v>0</v>
      </c>
      <c r="AT93" s="75">
        <f t="shared" si="124"/>
        <v>0</v>
      </c>
      <c r="AU93" s="75">
        <f t="shared" si="124"/>
        <v>0</v>
      </c>
      <c r="AV93" s="75">
        <f>SUM(AR93:AU93)</f>
        <v>832859.5</v>
      </c>
    </row>
    <row r="94" spans="1:48" x14ac:dyDescent="0.25">
      <c r="A94" s="21" t="s">
        <v>77</v>
      </c>
      <c r="B94" s="63">
        <f>(105000+87550)*1.03*1.01</f>
        <v>200309.76500000001</v>
      </c>
      <c r="C94" s="63"/>
      <c r="D94" s="63"/>
      <c r="E94" s="63"/>
      <c r="F94" s="75">
        <f t="shared" ref="F94:F108" si="125">SUM(B94:E94)</f>
        <v>200309.76500000001</v>
      </c>
      <c r="H94" s="63">
        <f>((98000+90000+95000)+85000)*1.03*1.01</f>
        <v>382830.4</v>
      </c>
      <c r="I94" s="63"/>
      <c r="J94" s="63"/>
      <c r="K94" s="63"/>
      <c r="L94" s="75">
        <f t="shared" ref="L94:L108" si="126">SUM(H94:K94)</f>
        <v>382830.4</v>
      </c>
      <c r="N94" s="63">
        <f>(105000+105000+105000+110000+83000)*1.03*1.01</f>
        <v>528472.4</v>
      </c>
      <c r="O94" s="63"/>
      <c r="P94" s="63"/>
      <c r="Q94" s="63"/>
      <c r="R94" s="75">
        <f t="shared" ref="R94:R108" si="127">SUM(N94:Q94)</f>
        <v>528472.4</v>
      </c>
      <c r="T94" s="63">
        <v>0</v>
      </c>
      <c r="U94" s="63"/>
      <c r="V94" s="63"/>
      <c r="W94" s="63"/>
      <c r="X94" s="75">
        <f t="shared" ref="X94:X108" si="128">SUM(T94:W94)</f>
        <v>0</v>
      </c>
      <c r="Y94" s="194"/>
      <c r="Z94" s="63">
        <v>0</v>
      </c>
      <c r="AA94" s="63"/>
      <c r="AB94" s="63"/>
      <c r="AC94" s="63"/>
      <c r="AD94" s="75">
        <f t="shared" ref="AD94:AD108" si="129">SUM(Z94:AC94)</f>
        <v>0</v>
      </c>
      <c r="AE94" s="194"/>
      <c r="AF94" s="63">
        <f>90000*AF40</f>
        <v>0</v>
      </c>
      <c r="AG94" s="63"/>
      <c r="AH94" s="63"/>
      <c r="AI94" s="63"/>
      <c r="AJ94" s="75">
        <f t="shared" ref="AJ94:AJ108" si="130">SUM(AF94:AI94)</f>
        <v>0</v>
      </c>
      <c r="AL94" s="63"/>
      <c r="AM94" s="63">
        <f>118450*1.01</f>
        <v>119634.5</v>
      </c>
      <c r="AN94" s="63"/>
      <c r="AO94" s="63"/>
      <c r="AP94" s="75">
        <f t="shared" ref="AP94:AP108" si="131">SUM(AL94:AO94)</f>
        <v>119634.5</v>
      </c>
      <c r="AR94" s="75">
        <f t="shared" ref="AR94:AR108" si="132">B94+H94+N94+T94+AL94+AF94+Z94</f>
        <v>1111612.5649999999</v>
      </c>
      <c r="AS94" s="75">
        <f t="shared" ref="AS94:AS108" si="133">C94+I94+O94+U94+AM94+AG94+AA94</f>
        <v>119634.5</v>
      </c>
      <c r="AT94" s="75">
        <f t="shared" ref="AT94:AT108" si="134">D94+J94+P94+V94+AN94+AH94+AB94</f>
        <v>0</v>
      </c>
      <c r="AU94" s="75">
        <f t="shared" ref="AU94:AU108" si="135">E94+K94+Q94+W94+AO94+AI94+AC94</f>
        <v>0</v>
      </c>
      <c r="AV94" s="75">
        <f t="shared" ref="AV94:AV108" si="136">SUM(AR94:AU94)</f>
        <v>1231247.0649999999</v>
      </c>
    </row>
    <row r="95" spans="1:48" x14ac:dyDescent="0.25">
      <c r="A95" s="21" t="s">
        <v>39</v>
      </c>
      <c r="B95" s="63">
        <f>(70000+88000)*1.01</f>
        <v>159580</v>
      </c>
      <c r="C95" s="63"/>
      <c r="D95" s="63"/>
      <c r="E95" s="63"/>
      <c r="F95" s="75">
        <f t="shared" si="125"/>
        <v>159580</v>
      </c>
      <c r="H95" s="63">
        <f>(71000+65000)*1.01</f>
        <v>137360</v>
      </c>
      <c r="I95" s="63"/>
      <c r="J95" s="63"/>
      <c r="K95" s="63"/>
      <c r="L95" s="75">
        <f t="shared" si="126"/>
        <v>137360</v>
      </c>
      <c r="N95" s="63">
        <f>(80350*N44)*1.01</f>
        <v>405767.5</v>
      </c>
      <c r="O95" s="63"/>
      <c r="P95" s="63"/>
      <c r="Q95" s="63"/>
      <c r="R95" s="75">
        <f t="shared" si="127"/>
        <v>405767.5</v>
      </c>
      <c r="T95" s="63"/>
      <c r="U95" s="63"/>
      <c r="V95" s="63"/>
      <c r="W95" s="63"/>
      <c r="X95" s="75">
        <f t="shared" si="128"/>
        <v>0</v>
      </c>
      <c r="Y95" s="194"/>
      <c r="Z95" s="63"/>
      <c r="AA95" s="63"/>
      <c r="AB95" s="63"/>
      <c r="AC95" s="63"/>
      <c r="AD95" s="75">
        <f t="shared" si="129"/>
        <v>0</v>
      </c>
      <c r="AE95" s="194"/>
      <c r="AF95" s="63"/>
      <c r="AG95" s="63"/>
      <c r="AH95" s="63"/>
      <c r="AI95" s="63"/>
      <c r="AJ95" s="75">
        <f t="shared" si="130"/>
        <v>0</v>
      </c>
      <c r="AL95" s="63"/>
      <c r="AM95" s="63"/>
      <c r="AN95" s="63"/>
      <c r="AO95" s="63">
        <v>200000</v>
      </c>
      <c r="AP95" s="75">
        <f t="shared" si="131"/>
        <v>200000</v>
      </c>
      <c r="AR95" s="75">
        <f t="shared" si="132"/>
        <v>702707.5</v>
      </c>
      <c r="AS95" s="75">
        <f t="shared" si="133"/>
        <v>0</v>
      </c>
      <c r="AT95" s="75">
        <f t="shared" si="134"/>
        <v>0</v>
      </c>
      <c r="AU95" s="75">
        <f t="shared" si="135"/>
        <v>200000</v>
      </c>
      <c r="AV95" s="75">
        <f t="shared" si="136"/>
        <v>902707.5</v>
      </c>
    </row>
    <row r="96" spans="1:48" x14ac:dyDescent="0.25">
      <c r="A96" s="21" t="s">
        <v>78</v>
      </c>
      <c r="B96" s="63">
        <f>(75000+43000)*1.01</f>
        <v>119180</v>
      </c>
      <c r="C96" s="63"/>
      <c r="D96" s="63"/>
      <c r="E96" s="63"/>
      <c r="F96" s="75">
        <f t="shared" si="125"/>
        <v>119180</v>
      </c>
      <c r="H96" s="63">
        <f>(60000+75000)*1.01</f>
        <v>136350</v>
      </c>
      <c r="I96" s="63"/>
      <c r="J96" s="63"/>
      <c r="K96" s="63"/>
      <c r="L96" s="75">
        <f t="shared" si="126"/>
        <v>136350</v>
      </c>
      <c r="N96" s="63"/>
      <c r="O96" s="63"/>
      <c r="P96" s="63"/>
      <c r="Q96" s="63"/>
      <c r="R96" s="75">
        <f t="shared" si="127"/>
        <v>0</v>
      </c>
      <c r="T96" s="63"/>
      <c r="U96" s="63"/>
      <c r="V96" s="63"/>
      <c r="W96" s="63"/>
      <c r="X96" s="75">
        <f t="shared" si="128"/>
        <v>0</v>
      </c>
      <c r="Y96" s="194"/>
      <c r="Z96" s="63"/>
      <c r="AA96" s="63"/>
      <c r="AB96" s="63"/>
      <c r="AC96" s="63"/>
      <c r="AD96" s="75">
        <f t="shared" si="129"/>
        <v>0</v>
      </c>
      <c r="AE96" s="194"/>
      <c r="AF96" s="63"/>
      <c r="AG96" s="63"/>
      <c r="AH96" s="63"/>
      <c r="AI96" s="63"/>
      <c r="AJ96" s="75">
        <f t="shared" si="130"/>
        <v>0</v>
      </c>
      <c r="AL96" s="63">
        <f>72100*1.01</f>
        <v>72821</v>
      </c>
      <c r="AM96" s="63"/>
      <c r="AN96" s="63"/>
      <c r="AO96" s="63"/>
      <c r="AP96" s="75">
        <f t="shared" si="131"/>
        <v>72821</v>
      </c>
      <c r="AR96" s="75">
        <f t="shared" si="132"/>
        <v>328351</v>
      </c>
      <c r="AS96" s="75">
        <f t="shared" si="133"/>
        <v>0</v>
      </c>
      <c r="AT96" s="75">
        <f t="shared" si="134"/>
        <v>0</v>
      </c>
      <c r="AU96" s="75">
        <f t="shared" si="135"/>
        <v>0</v>
      </c>
      <c r="AV96" s="75">
        <f t="shared" si="136"/>
        <v>328351</v>
      </c>
    </row>
    <row r="97" spans="1:48" x14ac:dyDescent="0.25">
      <c r="A97" s="21" t="s">
        <v>79</v>
      </c>
      <c r="B97" s="63">
        <v>0</v>
      </c>
      <c r="C97" s="63"/>
      <c r="D97" s="63"/>
      <c r="E97" s="63"/>
      <c r="F97" s="75">
        <f t="shared" si="125"/>
        <v>0</v>
      </c>
      <c r="H97" s="63"/>
      <c r="I97" s="63"/>
      <c r="J97" s="63"/>
      <c r="K97" s="63"/>
      <c r="L97" s="75">
        <f t="shared" si="126"/>
        <v>0</v>
      </c>
      <c r="N97" s="63"/>
      <c r="O97" s="63"/>
      <c r="P97" s="63"/>
      <c r="Q97" s="63"/>
      <c r="R97" s="75">
        <f t="shared" si="127"/>
        <v>0</v>
      </c>
      <c r="T97" s="63"/>
      <c r="U97" s="63"/>
      <c r="V97" s="63"/>
      <c r="W97" s="63"/>
      <c r="X97" s="75">
        <f t="shared" si="128"/>
        <v>0</v>
      </c>
      <c r="Y97" s="194"/>
      <c r="Z97" s="63"/>
      <c r="AA97" s="63"/>
      <c r="AB97" s="63"/>
      <c r="AC97" s="63"/>
      <c r="AD97" s="75">
        <f t="shared" si="129"/>
        <v>0</v>
      </c>
      <c r="AE97" s="194"/>
      <c r="AF97" s="63"/>
      <c r="AG97" s="63"/>
      <c r="AH97" s="63"/>
      <c r="AI97" s="63"/>
      <c r="AJ97" s="75">
        <f t="shared" si="130"/>
        <v>0</v>
      </c>
      <c r="AL97" s="63"/>
      <c r="AM97" s="63"/>
      <c r="AN97" s="63"/>
      <c r="AO97" s="63"/>
      <c r="AP97" s="75">
        <f t="shared" si="131"/>
        <v>0</v>
      </c>
      <c r="AR97" s="75">
        <f t="shared" si="132"/>
        <v>0</v>
      </c>
      <c r="AS97" s="75">
        <f t="shared" si="133"/>
        <v>0</v>
      </c>
      <c r="AT97" s="75">
        <f t="shared" si="134"/>
        <v>0</v>
      </c>
      <c r="AU97" s="75">
        <f t="shared" si="135"/>
        <v>0</v>
      </c>
      <c r="AV97" s="75">
        <f t="shared" si="136"/>
        <v>0</v>
      </c>
    </row>
    <row r="98" spans="1:48" x14ac:dyDescent="0.25">
      <c r="A98" s="21" t="s">
        <v>80</v>
      </c>
      <c r="B98" s="63">
        <f>(70000+62000+52000+40000)*1.01</f>
        <v>226240</v>
      </c>
      <c r="C98" s="63"/>
      <c r="D98" s="63"/>
      <c r="E98" s="63"/>
      <c r="F98" s="75">
        <f t="shared" si="125"/>
        <v>226240</v>
      </c>
      <c r="H98" s="63">
        <f>(81000+61800+51500+58500)*1.01</f>
        <v>255328</v>
      </c>
      <c r="I98" s="63"/>
      <c r="J98" s="63"/>
      <c r="K98" s="63"/>
      <c r="L98" s="75">
        <f t="shared" si="126"/>
        <v>255328</v>
      </c>
      <c r="N98" s="63">
        <f>((86000+44000+60000+55000)+60000)*1.01</f>
        <v>308050</v>
      </c>
      <c r="O98" s="63"/>
      <c r="P98" s="63"/>
      <c r="Q98" s="63"/>
      <c r="R98" s="75">
        <f t="shared" si="127"/>
        <v>308050</v>
      </c>
      <c r="T98" s="63">
        <f>52000*1.01</f>
        <v>52520</v>
      </c>
      <c r="U98" s="63"/>
      <c r="V98" s="63"/>
      <c r="W98" s="63"/>
      <c r="X98" s="75">
        <f t="shared" si="128"/>
        <v>52520</v>
      </c>
      <c r="Y98" s="194"/>
      <c r="Z98" s="63">
        <v>55000</v>
      </c>
      <c r="AA98" s="63"/>
      <c r="AB98" s="63"/>
      <c r="AC98" s="63"/>
      <c r="AD98" s="75">
        <f t="shared" si="129"/>
        <v>55000</v>
      </c>
      <c r="AE98" s="194"/>
      <c r="AF98" s="63">
        <v>0</v>
      </c>
      <c r="AG98" s="63"/>
      <c r="AH98" s="63"/>
      <c r="AI98" s="63"/>
      <c r="AJ98" s="75">
        <f t="shared" si="130"/>
        <v>0</v>
      </c>
      <c r="AL98" s="63">
        <f>87500*1.01</f>
        <v>88375</v>
      </c>
      <c r="AM98" s="63"/>
      <c r="AN98" s="63"/>
      <c r="AO98" s="63"/>
      <c r="AP98" s="75">
        <f t="shared" si="131"/>
        <v>88375</v>
      </c>
      <c r="AR98" s="75">
        <f t="shared" si="132"/>
        <v>985513</v>
      </c>
      <c r="AS98" s="75">
        <f t="shared" si="133"/>
        <v>0</v>
      </c>
      <c r="AT98" s="75">
        <f t="shared" si="134"/>
        <v>0</v>
      </c>
      <c r="AU98" s="75">
        <f t="shared" si="135"/>
        <v>0</v>
      </c>
      <c r="AV98" s="75">
        <f t="shared" si="136"/>
        <v>985513</v>
      </c>
    </row>
    <row r="99" spans="1:48" x14ac:dyDescent="0.25">
      <c r="A99" s="21" t="s">
        <v>81</v>
      </c>
      <c r="B99" s="63">
        <f>(24.25*8*190)*(B48+B49)+1300</f>
        <v>111880</v>
      </c>
      <c r="C99" s="63"/>
      <c r="D99" s="63"/>
      <c r="E99" s="63"/>
      <c r="F99" s="75">
        <f t="shared" si="125"/>
        <v>111880</v>
      </c>
      <c r="H99" s="63">
        <f>(24.25*8*190)*(H48+H49)</f>
        <v>110580</v>
      </c>
      <c r="I99" s="63"/>
      <c r="J99" s="63"/>
      <c r="K99" s="63"/>
      <c r="L99" s="75">
        <f t="shared" si="126"/>
        <v>110580</v>
      </c>
      <c r="N99" s="63">
        <f>(21.25*8*190)*(N48+N49)+(61800)*1.01</f>
        <v>288518</v>
      </c>
      <c r="O99" s="63"/>
      <c r="P99" s="63"/>
      <c r="Q99" s="63"/>
      <c r="R99" s="75">
        <f t="shared" si="127"/>
        <v>288518</v>
      </c>
      <c r="T99" s="63">
        <f>40000*1.01</f>
        <v>40400</v>
      </c>
      <c r="U99" s="63"/>
      <c r="V99" s="63"/>
      <c r="W99" s="63"/>
      <c r="X99" s="75">
        <f t="shared" si="128"/>
        <v>40400</v>
      </c>
      <c r="Y99" s="194"/>
      <c r="Z99" s="63">
        <f>(21*8*190)*(Z48+Z49)</f>
        <v>63840</v>
      </c>
      <c r="AA99" s="63"/>
      <c r="AB99" s="63"/>
      <c r="AC99" s="63"/>
      <c r="AD99" s="75">
        <f t="shared" si="129"/>
        <v>63840</v>
      </c>
      <c r="AE99" s="194"/>
      <c r="AF99" s="63">
        <f>(21*8*190)*(AF48+AF49)</f>
        <v>0</v>
      </c>
      <c r="AG99" s="63"/>
      <c r="AH99" s="63"/>
      <c r="AI99" s="63"/>
      <c r="AJ99" s="75">
        <f t="shared" si="130"/>
        <v>0</v>
      </c>
      <c r="AL99" s="63"/>
      <c r="AM99" s="63"/>
      <c r="AN99" s="63"/>
      <c r="AO99" s="63"/>
      <c r="AP99" s="75">
        <f t="shared" si="131"/>
        <v>0</v>
      </c>
      <c r="AR99" s="75">
        <f t="shared" si="132"/>
        <v>615218</v>
      </c>
      <c r="AS99" s="75">
        <f t="shared" si="133"/>
        <v>0</v>
      </c>
      <c r="AT99" s="75">
        <f t="shared" si="134"/>
        <v>0</v>
      </c>
      <c r="AU99" s="75">
        <f t="shared" si="135"/>
        <v>0</v>
      </c>
      <c r="AV99" s="75">
        <f t="shared" si="136"/>
        <v>615218</v>
      </c>
    </row>
    <row r="100" spans="1:48" x14ac:dyDescent="0.25">
      <c r="A100" s="21" t="s">
        <v>82</v>
      </c>
      <c r="B100" s="63"/>
      <c r="C100" s="63"/>
      <c r="D100" s="63"/>
      <c r="E100" s="63"/>
      <c r="F100" s="75">
        <f t="shared" si="125"/>
        <v>0</v>
      </c>
      <c r="H100" s="63"/>
      <c r="I100" s="63"/>
      <c r="J100" s="63"/>
      <c r="K100" s="63"/>
      <c r="L100" s="75">
        <f t="shared" si="126"/>
        <v>0</v>
      </c>
      <c r="N100" s="63">
        <f>50000*1.01</f>
        <v>50500</v>
      </c>
      <c r="O100" s="63"/>
      <c r="P100" s="63"/>
      <c r="Q100" s="63"/>
      <c r="R100" s="75">
        <f t="shared" si="127"/>
        <v>50500</v>
      </c>
      <c r="T100" s="63"/>
      <c r="U100" s="63"/>
      <c r="V100" s="63"/>
      <c r="W100" s="63"/>
      <c r="X100" s="75">
        <f t="shared" si="128"/>
        <v>0</v>
      </c>
      <c r="Y100" s="194"/>
      <c r="Z100" s="63"/>
      <c r="AA100" s="63"/>
      <c r="AB100" s="63"/>
      <c r="AC100" s="63"/>
      <c r="AD100" s="75">
        <f t="shared" si="129"/>
        <v>0</v>
      </c>
      <c r="AE100" s="194"/>
      <c r="AF100" s="63"/>
      <c r="AG100" s="63"/>
      <c r="AH100" s="63"/>
      <c r="AI100" s="63"/>
      <c r="AJ100" s="75">
        <f t="shared" si="130"/>
        <v>0</v>
      </c>
      <c r="AL100" s="63"/>
      <c r="AM100" s="63"/>
      <c r="AN100" s="63"/>
      <c r="AO100" s="63"/>
      <c r="AP100" s="75">
        <f t="shared" si="131"/>
        <v>0</v>
      </c>
      <c r="AR100" s="75">
        <f t="shared" si="132"/>
        <v>50500</v>
      </c>
      <c r="AS100" s="75">
        <f t="shared" si="133"/>
        <v>0</v>
      </c>
      <c r="AT100" s="75">
        <f t="shared" si="134"/>
        <v>0</v>
      </c>
      <c r="AU100" s="75">
        <f t="shared" si="135"/>
        <v>0</v>
      </c>
      <c r="AV100" s="75">
        <f t="shared" si="136"/>
        <v>50500</v>
      </c>
    </row>
    <row r="101" spans="1:48" x14ac:dyDescent="0.25">
      <c r="A101" s="21" t="s">
        <v>83</v>
      </c>
      <c r="B101" s="63">
        <f>(21.25*8*240)*B51</f>
        <v>163200</v>
      </c>
      <c r="C101" s="63"/>
      <c r="D101" s="63"/>
      <c r="E101" s="63"/>
      <c r="F101" s="75">
        <f t="shared" si="125"/>
        <v>163200</v>
      </c>
      <c r="H101" s="63">
        <f>(21.25*8*240)*H51</f>
        <v>122400</v>
      </c>
      <c r="I101" s="63"/>
      <c r="J101" s="63"/>
      <c r="K101" s="63"/>
      <c r="L101" s="75">
        <f t="shared" si="126"/>
        <v>122400</v>
      </c>
      <c r="N101" s="63">
        <f>(21.25*8*240)*(N51-2)+(47500+61800)*1.01</f>
        <v>518393</v>
      </c>
      <c r="O101" s="63"/>
      <c r="P101" s="63"/>
      <c r="Q101" s="63"/>
      <c r="R101" s="75">
        <f t="shared" si="127"/>
        <v>518393</v>
      </c>
      <c r="T101" s="63">
        <f>20.25*8*60+(20.25*5*180)</f>
        <v>27945</v>
      </c>
      <c r="U101" s="63"/>
      <c r="V101" s="63">
        <f>20.25*3*180</f>
        <v>10935</v>
      </c>
      <c r="W101" s="63"/>
      <c r="X101" s="75">
        <f t="shared" si="128"/>
        <v>38880</v>
      </c>
      <c r="Y101" s="194"/>
      <c r="Z101" s="63">
        <f>(21.25*8*240)*Z51</f>
        <v>40800</v>
      </c>
      <c r="AA101" s="63"/>
      <c r="AB101" s="63">
        <v>0</v>
      </c>
      <c r="AC101" s="63"/>
      <c r="AD101" s="75">
        <f t="shared" si="129"/>
        <v>40800</v>
      </c>
      <c r="AE101" s="194"/>
      <c r="AF101" s="63">
        <f>(23*8*240)*AF51</f>
        <v>0</v>
      </c>
      <c r="AG101" s="63"/>
      <c r="AH101" s="63">
        <f>(20*8*185)*AH50</f>
        <v>0</v>
      </c>
      <c r="AI101" s="63"/>
      <c r="AJ101" s="75">
        <f t="shared" si="130"/>
        <v>0</v>
      </c>
      <c r="AL101" s="63">
        <f>80500*1.01</f>
        <v>81305</v>
      </c>
      <c r="AM101" s="63"/>
      <c r="AN101" s="63"/>
      <c r="AO101" s="63"/>
      <c r="AP101" s="75">
        <f t="shared" si="131"/>
        <v>81305</v>
      </c>
      <c r="AR101" s="75">
        <f t="shared" si="132"/>
        <v>954043</v>
      </c>
      <c r="AS101" s="75">
        <f t="shared" si="133"/>
        <v>0</v>
      </c>
      <c r="AT101" s="75">
        <f t="shared" si="134"/>
        <v>10935</v>
      </c>
      <c r="AU101" s="75">
        <f t="shared" si="135"/>
        <v>0</v>
      </c>
      <c r="AV101" s="75">
        <f t="shared" si="136"/>
        <v>964978</v>
      </c>
    </row>
    <row r="102" spans="1:48" x14ac:dyDescent="0.25">
      <c r="A102" s="21" t="s">
        <v>84</v>
      </c>
      <c r="B102" s="63"/>
      <c r="C102" s="63"/>
      <c r="D102" s="63">
        <f>(21.25*8*180*2)+(29.25*8*180)</f>
        <v>103320</v>
      </c>
      <c r="E102" s="63"/>
      <c r="F102" s="75">
        <f t="shared" si="125"/>
        <v>103320</v>
      </c>
      <c r="H102" s="63"/>
      <c r="I102" s="63"/>
      <c r="J102" s="63">
        <f>(21.25*8*180*2)+(29*8*180)</f>
        <v>102960</v>
      </c>
      <c r="K102" s="63"/>
      <c r="L102" s="75">
        <f t="shared" si="126"/>
        <v>102960</v>
      </c>
      <c r="N102" s="63"/>
      <c r="O102" s="63"/>
      <c r="P102" s="63">
        <f>(21.25*8*180*8)+(36.25*8*180)</f>
        <v>297000</v>
      </c>
      <c r="Q102" s="63"/>
      <c r="R102" s="75">
        <f t="shared" si="127"/>
        <v>297000</v>
      </c>
      <c r="T102" s="63"/>
      <c r="U102" s="63"/>
      <c r="V102" s="63"/>
      <c r="W102" s="63"/>
      <c r="X102" s="75">
        <f t="shared" si="128"/>
        <v>0</v>
      </c>
      <c r="Y102" s="194"/>
      <c r="Z102" s="63"/>
      <c r="AA102" s="63"/>
      <c r="AB102" s="63"/>
      <c r="AC102" s="63"/>
      <c r="AD102" s="75">
        <f t="shared" si="129"/>
        <v>0</v>
      </c>
      <c r="AE102" s="194"/>
      <c r="AF102" s="63"/>
      <c r="AG102" s="63"/>
      <c r="AH102" s="63"/>
      <c r="AI102" s="63"/>
      <c r="AJ102" s="75">
        <f t="shared" si="130"/>
        <v>0</v>
      </c>
      <c r="AL102" s="63"/>
      <c r="AM102" s="63"/>
      <c r="AN102" s="63">
        <f>64375*1.015</f>
        <v>65340.624999999993</v>
      </c>
      <c r="AO102" s="63"/>
      <c r="AP102" s="75">
        <f t="shared" si="131"/>
        <v>65340.624999999993</v>
      </c>
      <c r="AR102" s="75">
        <f t="shared" si="132"/>
        <v>0</v>
      </c>
      <c r="AS102" s="75">
        <f t="shared" si="133"/>
        <v>0</v>
      </c>
      <c r="AT102" s="75">
        <f t="shared" si="134"/>
        <v>568620.625</v>
      </c>
      <c r="AU102" s="75">
        <f t="shared" si="135"/>
        <v>0</v>
      </c>
      <c r="AV102" s="75">
        <f t="shared" si="136"/>
        <v>568620.625</v>
      </c>
    </row>
    <row r="103" spans="1:48" x14ac:dyDescent="0.25">
      <c r="A103" s="21" t="s">
        <v>85</v>
      </c>
      <c r="B103" s="63"/>
      <c r="C103" s="63"/>
      <c r="D103" s="63"/>
      <c r="E103" s="63"/>
      <c r="F103" s="75">
        <f t="shared" si="125"/>
        <v>0</v>
      </c>
      <c r="H103" s="63"/>
      <c r="I103" s="63"/>
      <c r="J103" s="63"/>
      <c r="K103" s="63"/>
      <c r="L103" s="75">
        <f t="shared" si="126"/>
        <v>0</v>
      </c>
      <c r="N103" s="63"/>
      <c r="O103" s="63"/>
      <c r="P103" s="63"/>
      <c r="Q103" s="63"/>
      <c r="R103" s="75">
        <f t="shared" si="127"/>
        <v>0</v>
      </c>
      <c r="T103" s="63"/>
      <c r="U103" s="63"/>
      <c r="V103" s="63"/>
      <c r="W103" s="63"/>
      <c r="X103" s="75">
        <f t="shared" si="128"/>
        <v>0</v>
      </c>
      <c r="Y103" s="194"/>
      <c r="Z103" s="63"/>
      <c r="AA103" s="63"/>
      <c r="AB103" s="63">
        <f>(21*8*190)*(AB52)</f>
        <v>31920</v>
      </c>
      <c r="AC103" s="63"/>
      <c r="AD103" s="75">
        <f t="shared" si="129"/>
        <v>31920</v>
      </c>
      <c r="AE103" s="194"/>
      <c r="AF103" s="63"/>
      <c r="AG103" s="63"/>
      <c r="AH103" s="63"/>
      <c r="AI103" s="63"/>
      <c r="AJ103" s="75">
        <f t="shared" si="130"/>
        <v>0</v>
      </c>
      <c r="AL103" s="63"/>
      <c r="AM103" s="63"/>
      <c r="AN103" s="63"/>
      <c r="AO103" s="63"/>
      <c r="AP103" s="75">
        <f t="shared" si="131"/>
        <v>0</v>
      </c>
      <c r="AR103" s="75">
        <f t="shared" si="132"/>
        <v>0</v>
      </c>
      <c r="AS103" s="75">
        <f t="shared" si="133"/>
        <v>0</v>
      </c>
      <c r="AT103" s="75">
        <f t="shared" si="134"/>
        <v>31920</v>
      </c>
      <c r="AU103" s="75">
        <f t="shared" si="135"/>
        <v>0</v>
      </c>
      <c r="AV103" s="75">
        <f t="shared" si="136"/>
        <v>31920</v>
      </c>
    </row>
    <row r="104" spans="1:48" x14ac:dyDescent="0.25">
      <c r="A104" s="21" t="s">
        <v>49</v>
      </c>
      <c r="B104" s="63"/>
      <c r="C104" s="63">
        <f>92700*1.01</f>
        <v>93627</v>
      </c>
      <c r="D104" s="63"/>
      <c r="E104" s="63"/>
      <c r="F104" s="75">
        <f t="shared" si="125"/>
        <v>93627</v>
      </c>
      <c r="H104" s="63"/>
      <c r="I104" s="63">
        <f>92700*1.01</f>
        <v>93627</v>
      </c>
      <c r="J104" s="63"/>
      <c r="K104" s="63"/>
      <c r="L104" s="75">
        <f t="shared" si="126"/>
        <v>93627</v>
      </c>
      <c r="N104" s="63"/>
      <c r="O104" s="63">
        <f>83100*1.01</f>
        <v>83931</v>
      </c>
      <c r="P104" s="63"/>
      <c r="Q104" s="63"/>
      <c r="R104" s="75">
        <f t="shared" si="127"/>
        <v>83931</v>
      </c>
      <c r="T104" s="63"/>
      <c r="U104" s="63"/>
      <c r="V104" s="63"/>
      <c r="W104" s="63"/>
      <c r="X104" s="75">
        <f t="shared" si="128"/>
        <v>0</v>
      </c>
      <c r="Y104" s="194"/>
      <c r="Z104" s="63"/>
      <c r="AA104" s="63"/>
      <c r="AB104" s="63"/>
      <c r="AC104" s="63"/>
      <c r="AD104" s="75">
        <f t="shared" si="129"/>
        <v>0</v>
      </c>
      <c r="AE104" s="194"/>
      <c r="AF104" s="63"/>
      <c r="AG104" s="63"/>
      <c r="AH104" s="63"/>
      <c r="AI104" s="63"/>
      <c r="AJ104" s="75">
        <f t="shared" si="130"/>
        <v>0</v>
      </c>
      <c r="AL104" s="63"/>
      <c r="AM104" s="63"/>
      <c r="AN104" s="63"/>
      <c r="AO104" s="63"/>
      <c r="AP104" s="75">
        <f t="shared" si="131"/>
        <v>0</v>
      </c>
      <c r="AR104" s="75">
        <f t="shared" si="132"/>
        <v>0</v>
      </c>
      <c r="AS104" s="75">
        <f t="shared" si="133"/>
        <v>271185</v>
      </c>
      <c r="AT104" s="75">
        <f t="shared" si="134"/>
        <v>0</v>
      </c>
      <c r="AU104" s="75">
        <f t="shared" si="135"/>
        <v>0</v>
      </c>
      <c r="AV104" s="75">
        <f t="shared" si="136"/>
        <v>271185</v>
      </c>
    </row>
    <row r="105" spans="1:48" x14ac:dyDescent="0.25">
      <c r="A105" s="21" t="s">
        <v>86</v>
      </c>
      <c r="B105" s="63"/>
      <c r="C105" s="63">
        <f>65000*1.01</f>
        <v>65650</v>
      </c>
      <c r="D105" s="63"/>
      <c r="E105" s="63"/>
      <c r="F105" s="75">
        <f t="shared" si="125"/>
        <v>65650</v>
      </c>
      <c r="H105" s="63"/>
      <c r="I105" s="63">
        <f>65000*1.01</f>
        <v>65650</v>
      </c>
      <c r="J105" s="63"/>
      <c r="K105" s="63"/>
      <c r="L105" s="75">
        <f t="shared" si="126"/>
        <v>65650</v>
      </c>
      <c r="N105" s="63"/>
      <c r="O105" s="63">
        <f>65000*1.01</f>
        <v>65650</v>
      </c>
      <c r="P105" s="63"/>
      <c r="Q105" s="63"/>
      <c r="R105" s="75">
        <f t="shared" si="127"/>
        <v>65650</v>
      </c>
      <c r="T105" s="63"/>
      <c r="U105" s="63"/>
      <c r="V105" s="63"/>
      <c r="W105" s="63"/>
      <c r="X105" s="75">
        <f t="shared" si="128"/>
        <v>0</v>
      </c>
      <c r="Y105" s="194"/>
      <c r="Z105" s="63"/>
      <c r="AA105" s="63"/>
      <c r="AB105" s="63"/>
      <c r="AC105" s="63"/>
      <c r="AD105" s="75">
        <f t="shared" si="129"/>
        <v>0</v>
      </c>
      <c r="AE105" s="194"/>
      <c r="AF105" s="63"/>
      <c r="AG105" s="63"/>
      <c r="AH105" s="63"/>
      <c r="AI105" s="63"/>
      <c r="AJ105" s="75">
        <f t="shared" si="130"/>
        <v>0</v>
      </c>
      <c r="AL105" s="63"/>
      <c r="AM105" s="63"/>
      <c r="AN105" s="63"/>
      <c r="AO105" s="63"/>
      <c r="AP105" s="75">
        <f t="shared" si="131"/>
        <v>0</v>
      </c>
      <c r="AR105" s="75">
        <f t="shared" si="132"/>
        <v>0</v>
      </c>
      <c r="AS105" s="75">
        <f t="shared" si="133"/>
        <v>196950</v>
      </c>
      <c r="AT105" s="75">
        <f t="shared" si="134"/>
        <v>0</v>
      </c>
      <c r="AU105" s="75">
        <f t="shared" si="135"/>
        <v>0</v>
      </c>
      <c r="AV105" s="75">
        <f t="shared" si="136"/>
        <v>196950</v>
      </c>
    </row>
    <row r="106" spans="1:48" x14ac:dyDescent="0.25">
      <c r="A106" s="21" t="s">
        <v>87</v>
      </c>
      <c r="B106" s="63"/>
      <c r="C106" s="63">
        <f>46000*1.01</f>
        <v>46460</v>
      </c>
      <c r="D106" s="63"/>
      <c r="E106" s="63"/>
      <c r="F106" s="75">
        <f t="shared" si="125"/>
        <v>46460</v>
      </c>
      <c r="H106" s="63"/>
      <c r="I106" s="63">
        <f>46000*1.01</f>
        <v>46460</v>
      </c>
      <c r="J106" s="63"/>
      <c r="K106" s="63"/>
      <c r="L106" s="75">
        <f t="shared" si="126"/>
        <v>46460</v>
      </c>
      <c r="N106" s="63"/>
      <c r="O106" s="63">
        <f>98000*1.01</f>
        <v>98980</v>
      </c>
      <c r="P106" s="63"/>
      <c r="Q106" s="63"/>
      <c r="R106" s="75">
        <f t="shared" si="127"/>
        <v>98980</v>
      </c>
      <c r="T106" s="63"/>
      <c r="U106" s="63"/>
      <c r="V106" s="63"/>
      <c r="W106" s="63"/>
      <c r="X106" s="75">
        <f t="shared" si="128"/>
        <v>0</v>
      </c>
      <c r="Y106" s="194"/>
      <c r="Z106" s="63"/>
      <c r="AA106" s="63"/>
      <c r="AB106" s="63"/>
      <c r="AC106" s="63"/>
      <c r="AD106" s="75">
        <f t="shared" si="129"/>
        <v>0</v>
      </c>
      <c r="AE106" s="194"/>
      <c r="AF106" s="63"/>
      <c r="AG106" s="63"/>
      <c r="AH106" s="63"/>
      <c r="AI106" s="63"/>
      <c r="AJ106" s="75">
        <f t="shared" si="130"/>
        <v>0</v>
      </c>
      <c r="AL106" s="63"/>
      <c r="AM106" s="63">
        <f>(80000+90000)*1.01</f>
        <v>171700</v>
      </c>
      <c r="AN106" s="63"/>
      <c r="AO106" s="63"/>
      <c r="AP106" s="75">
        <f t="shared" si="131"/>
        <v>171700</v>
      </c>
      <c r="AR106" s="75">
        <f t="shared" si="132"/>
        <v>0</v>
      </c>
      <c r="AS106" s="75">
        <f t="shared" si="133"/>
        <v>363600</v>
      </c>
      <c r="AT106" s="75">
        <f t="shared" si="134"/>
        <v>0</v>
      </c>
      <c r="AU106" s="75">
        <f t="shared" si="135"/>
        <v>0</v>
      </c>
      <c r="AV106" s="75">
        <f t="shared" si="136"/>
        <v>363600</v>
      </c>
    </row>
    <row r="107" spans="1:48" x14ac:dyDescent="0.25">
      <c r="A107" s="21" t="s">
        <v>53</v>
      </c>
      <c r="B107" s="63"/>
      <c r="C107" s="63"/>
      <c r="D107" s="63"/>
      <c r="E107" s="63"/>
      <c r="F107" s="75">
        <f t="shared" si="125"/>
        <v>0</v>
      </c>
      <c r="H107" s="63"/>
      <c r="I107" s="63"/>
      <c r="J107" s="63"/>
      <c r="K107" s="63"/>
      <c r="L107" s="75">
        <f t="shared" si="126"/>
        <v>0</v>
      </c>
      <c r="N107" s="63">
        <f>90700*1.01</f>
        <v>91607</v>
      </c>
      <c r="O107" s="63"/>
      <c r="P107" s="63"/>
      <c r="Q107" s="63"/>
      <c r="R107" s="75">
        <f t="shared" si="127"/>
        <v>91607</v>
      </c>
      <c r="T107" s="63"/>
      <c r="U107" s="63"/>
      <c r="V107" s="63"/>
      <c r="W107" s="63"/>
      <c r="X107" s="75">
        <f t="shared" si="128"/>
        <v>0</v>
      </c>
      <c r="Y107" s="194"/>
      <c r="Z107" s="63"/>
      <c r="AA107" s="63"/>
      <c r="AB107" s="63"/>
      <c r="AC107" s="63"/>
      <c r="AD107" s="75">
        <f t="shared" si="129"/>
        <v>0</v>
      </c>
      <c r="AE107" s="194"/>
      <c r="AF107" s="63"/>
      <c r="AG107" s="63"/>
      <c r="AH107" s="63"/>
      <c r="AI107" s="63"/>
      <c r="AJ107" s="75">
        <f t="shared" si="130"/>
        <v>0</v>
      </c>
      <c r="AL107" s="63"/>
      <c r="AM107" s="63"/>
      <c r="AN107" s="63"/>
      <c r="AO107" s="63"/>
      <c r="AP107" s="75">
        <f t="shared" si="131"/>
        <v>0</v>
      </c>
      <c r="AR107" s="75">
        <f t="shared" si="132"/>
        <v>91607</v>
      </c>
      <c r="AS107" s="75">
        <f t="shared" si="133"/>
        <v>0</v>
      </c>
      <c r="AT107" s="75">
        <f t="shared" si="134"/>
        <v>0</v>
      </c>
      <c r="AU107" s="75">
        <f t="shared" si="135"/>
        <v>0</v>
      </c>
      <c r="AV107" s="75">
        <f t="shared" si="136"/>
        <v>91607</v>
      </c>
    </row>
    <row r="108" spans="1:48" x14ac:dyDescent="0.25">
      <c r="A108" s="22" t="s">
        <v>88</v>
      </c>
      <c r="B108" s="64">
        <f>(47000*1.01)+(24.25*7.5*230)</f>
        <v>89301.25</v>
      </c>
      <c r="C108" s="64"/>
      <c r="D108" s="64"/>
      <c r="E108" s="64"/>
      <c r="F108" s="75">
        <f t="shared" si="125"/>
        <v>89301.25</v>
      </c>
      <c r="H108" s="64">
        <f>65000*1.01</f>
        <v>65650</v>
      </c>
      <c r="I108" s="64"/>
      <c r="J108" s="64"/>
      <c r="K108" s="64"/>
      <c r="L108" s="75">
        <f t="shared" si="126"/>
        <v>65650</v>
      </c>
      <c r="N108" s="64">
        <f>61800*1.01</f>
        <v>62418</v>
      </c>
      <c r="O108" s="64"/>
      <c r="P108" s="64"/>
      <c r="Q108" s="64"/>
      <c r="R108" s="75">
        <f t="shared" si="127"/>
        <v>62418</v>
      </c>
      <c r="T108" s="64"/>
      <c r="U108" s="64"/>
      <c r="V108" s="64"/>
      <c r="W108" s="64"/>
      <c r="X108" s="75">
        <f t="shared" si="128"/>
        <v>0</v>
      </c>
      <c r="Y108" s="194"/>
      <c r="Z108" s="64"/>
      <c r="AA108" s="64"/>
      <c r="AB108" s="64"/>
      <c r="AC108" s="64"/>
      <c r="AD108" s="75">
        <f t="shared" si="129"/>
        <v>0</v>
      </c>
      <c r="AE108" s="194"/>
      <c r="AF108" s="64"/>
      <c r="AG108" s="64"/>
      <c r="AH108" s="64"/>
      <c r="AI108" s="64"/>
      <c r="AJ108" s="75">
        <f t="shared" si="130"/>
        <v>0</v>
      </c>
      <c r="AL108" s="64"/>
      <c r="AM108" s="64"/>
      <c r="AN108" s="64"/>
      <c r="AO108" s="64"/>
      <c r="AP108" s="75">
        <f t="shared" si="131"/>
        <v>0</v>
      </c>
      <c r="AR108" s="75">
        <f t="shared" si="132"/>
        <v>217369.25</v>
      </c>
      <c r="AS108" s="75">
        <f t="shared" si="133"/>
        <v>0</v>
      </c>
      <c r="AT108" s="75">
        <f t="shared" si="134"/>
        <v>0</v>
      </c>
      <c r="AU108" s="75">
        <f t="shared" si="135"/>
        <v>0</v>
      </c>
      <c r="AV108" s="75">
        <f t="shared" si="136"/>
        <v>217369.25</v>
      </c>
    </row>
    <row r="109" spans="1:48" x14ac:dyDescent="0.25">
      <c r="A109" s="27"/>
      <c r="B109" s="76">
        <f t="shared" ref="B109:E109" si="137">SUM(B93:B108)</f>
        <v>1241492.0150000001</v>
      </c>
      <c r="C109" s="76">
        <f t="shared" si="137"/>
        <v>205737</v>
      </c>
      <c r="D109" s="76">
        <f t="shared" si="137"/>
        <v>103320</v>
      </c>
      <c r="E109" s="76">
        <f t="shared" si="137"/>
        <v>0</v>
      </c>
      <c r="F109" s="76">
        <f t="shared" ref="F109" si="138">SUM(F93:F108)</f>
        <v>1550549.0150000001</v>
      </c>
      <c r="H109" s="76">
        <f t="shared" ref="H109:L109" si="139">SUM(H93:H108)</f>
        <v>1382299.4</v>
      </c>
      <c r="I109" s="76">
        <f t="shared" si="139"/>
        <v>205737</v>
      </c>
      <c r="J109" s="76">
        <f t="shared" si="139"/>
        <v>102960</v>
      </c>
      <c r="K109" s="76">
        <f t="shared" si="139"/>
        <v>0</v>
      </c>
      <c r="L109" s="76">
        <f t="shared" si="139"/>
        <v>1690996.4</v>
      </c>
      <c r="N109" s="76">
        <f t="shared" ref="N109:R109" si="140">SUM(N93:N108)</f>
        <v>2481733.4</v>
      </c>
      <c r="O109" s="76">
        <f t="shared" si="140"/>
        <v>248561</v>
      </c>
      <c r="P109" s="76">
        <f t="shared" si="140"/>
        <v>297000</v>
      </c>
      <c r="Q109" s="76">
        <f t="shared" si="140"/>
        <v>0</v>
      </c>
      <c r="R109" s="76">
        <f t="shared" si="140"/>
        <v>3027294.4</v>
      </c>
      <c r="T109" s="76">
        <f t="shared" ref="T109:W109" si="141">SUM(T93:T108)</f>
        <v>247115</v>
      </c>
      <c r="U109" s="76">
        <f t="shared" si="141"/>
        <v>0</v>
      </c>
      <c r="V109" s="76">
        <f t="shared" si="141"/>
        <v>10935</v>
      </c>
      <c r="W109" s="76">
        <f t="shared" si="141"/>
        <v>0</v>
      </c>
      <c r="X109" s="76">
        <f t="shared" ref="X109" si="142">SUM(X93:X108)</f>
        <v>258050</v>
      </c>
      <c r="Y109" s="199"/>
      <c r="Z109" s="76">
        <f t="shared" ref="Z109:AD109" si="143">SUM(Z93:Z108)</f>
        <v>294640</v>
      </c>
      <c r="AA109" s="76">
        <f t="shared" si="143"/>
        <v>0</v>
      </c>
      <c r="AB109" s="76">
        <f t="shared" si="143"/>
        <v>31920</v>
      </c>
      <c r="AC109" s="76">
        <f t="shared" si="143"/>
        <v>0</v>
      </c>
      <c r="AD109" s="76">
        <f t="shared" si="143"/>
        <v>326560</v>
      </c>
      <c r="AE109" s="199"/>
      <c r="AF109" s="76">
        <f t="shared" ref="AF109:AJ109" si="144">SUM(AF93:AF108)</f>
        <v>0</v>
      </c>
      <c r="AG109" s="76">
        <f t="shared" si="144"/>
        <v>0</v>
      </c>
      <c r="AH109" s="76">
        <f t="shared" si="144"/>
        <v>0</v>
      </c>
      <c r="AI109" s="76">
        <f t="shared" si="144"/>
        <v>0</v>
      </c>
      <c r="AJ109" s="76">
        <f t="shared" si="144"/>
        <v>0</v>
      </c>
      <c r="AL109" s="76">
        <f t="shared" ref="AL109:AN109" si="145">SUM(AL93:AL108)</f>
        <v>242501</v>
      </c>
      <c r="AM109" s="76">
        <f t="shared" si="145"/>
        <v>291334.5</v>
      </c>
      <c r="AN109" s="76">
        <f t="shared" si="145"/>
        <v>65340.624999999993</v>
      </c>
      <c r="AO109" s="76">
        <f t="shared" ref="AO109" si="146">SUM(AO93:AO108)</f>
        <v>200000</v>
      </c>
      <c r="AP109" s="76">
        <f t="shared" ref="AP109" si="147">SUM(AP93:AP108)</f>
        <v>799176.125</v>
      </c>
      <c r="AR109" s="76">
        <f t="shared" ref="AR109:AV109" si="148">SUM(AR93:AR108)</f>
        <v>5889780.8149999995</v>
      </c>
      <c r="AS109" s="76">
        <f t="shared" si="148"/>
        <v>951369.5</v>
      </c>
      <c r="AT109" s="76">
        <f t="shared" si="148"/>
        <v>611475.625</v>
      </c>
      <c r="AU109" s="76">
        <f t="shared" si="148"/>
        <v>200000</v>
      </c>
      <c r="AV109" s="76">
        <f t="shared" si="148"/>
        <v>7652625.9399999995</v>
      </c>
    </row>
    <row r="110" spans="1:48" x14ac:dyDescent="0.25">
      <c r="A110" s="20" t="s">
        <v>237</v>
      </c>
      <c r="B110" s="75">
        <f>B109*0.3725</f>
        <v>462455.77558750007</v>
      </c>
      <c r="C110" s="75">
        <f t="shared" ref="C110:E110" si="149">C109*0.3725</f>
        <v>76637.032500000001</v>
      </c>
      <c r="D110" s="75">
        <f t="shared" si="149"/>
        <v>38486.699999999997</v>
      </c>
      <c r="E110" s="75">
        <f t="shared" si="149"/>
        <v>0</v>
      </c>
      <c r="F110" s="75">
        <f>SUM(B110:E110)</f>
        <v>577579.5080875</v>
      </c>
      <c r="H110" s="75">
        <f>H109*0.3725</f>
        <v>514906.52649999998</v>
      </c>
      <c r="I110" s="75">
        <f t="shared" ref="I110" si="150">I109*0.3725</f>
        <v>76637.032500000001</v>
      </c>
      <c r="J110" s="75">
        <f t="shared" ref="J110" si="151">J109*0.3725</f>
        <v>38352.6</v>
      </c>
      <c r="K110" s="75">
        <f t="shared" ref="K110" si="152">K109*0.3725</f>
        <v>0</v>
      </c>
      <c r="L110" s="75">
        <f>SUM(H110:K110)</f>
        <v>629896.15899999999</v>
      </c>
      <c r="N110" s="75">
        <f>(N109-N93)*0.3725+(N93*0.1)</f>
        <v>862313.64775</v>
      </c>
      <c r="O110" s="75">
        <f t="shared" ref="O110" si="153">O109*0.3725</f>
        <v>92588.972500000003</v>
      </c>
      <c r="P110" s="75">
        <f t="shared" ref="P110" si="154">P109*0.3725</f>
        <v>110632.5</v>
      </c>
      <c r="Q110" s="75">
        <f t="shared" ref="Q110" si="155">Q109*0.3675</f>
        <v>0</v>
      </c>
      <c r="R110" s="75">
        <f>SUM(N110:Q110)</f>
        <v>1065535.1202500002</v>
      </c>
      <c r="T110" s="75">
        <f>T109*0.3725</f>
        <v>92050.337499999994</v>
      </c>
      <c r="U110" s="75">
        <f t="shared" ref="U110:W110" si="156">U109*0.3725</f>
        <v>0</v>
      </c>
      <c r="V110" s="75">
        <f t="shared" si="156"/>
        <v>4073.2874999999999</v>
      </c>
      <c r="W110" s="75">
        <f t="shared" si="156"/>
        <v>0</v>
      </c>
      <c r="X110" s="75">
        <f>SUM(T110:W110)</f>
        <v>96123.625</v>
      </c>
      <c r="Y110" s="194"/>
      <c r="Z110" s="75">
        <f>Z109*0.3725</f>
        <v>109753.4</v>
      </c>
      <c r="AA110" s="75">
        <f t="shared" ref="AA110:AC110" si="157">AA109*0.3725</f>
        <v>0</v>
      </c>
      <c r="AB110" s="75">
        <f t="shared" si="157"/>
        <v>11890.2</v>
      </c>
      <c r="AC110" s="75">
        <f t="shared" si="157"/>
        <v>0</v>
      </c>
      <c r="AD110" s="75">
        <f>SUM(Z110:AC110)</f>
        <v>121643.59999999999</v>
      </c>
      <c r="AE110" s="194"/>
      <c r="AF110" s="75">
        <f>AF109*0.3725</f>
        <v>0</v>
      </c>
      <c r="AG110" s="75">
        <f t="shared" ref="AG110:AI110" si="158">AG109*0.3725</f>
        <v>0</v>
      </c>
      <c r="AH110" s="75">
        <f t="shared" si="158"/>
        <v>0</v>
      </c>
      <c r="AI110" s="75">
        <f t="shared" si="158"/>
        <v>0</v>
      </c>
      <c r="AJ110" s="75">
        <f>SUM(AF110:AI110)</f>
        <v>0</v>
      </c>
      <c r="AL110" s="60">
        <f>AL109*0.3725</f>
        <v>90331.622499999998</v>
      </c>
      <c r="AM110" s="60">
        <f t="shared" ref="AM110:AN110" si="159">AM109*0.3725</f>
        <v>108522.10124999999</v>
      </c>
      <c r="AN110" s="60">
        <f t="shared" si="159"/>
        <v>24339.382812499996</v>
      </c>
      <c r="AO110" s="60">
        <f t="shared" ref="AO110" si="160">AO109*0.3675</f>
        <v>73500</v>
      </c>
      <c r="AP110" s="75">
        <f>SUM(AL110:AO110)</f>
        <v>296693.1065625</v>
      </c>
      <c r="AR110" s="60">
        <f>B110+H110+N110+T110+AL110+AF110+Z110</f>
        <v>2131811.3098375001</v>
      </c>
      <c r="AS110" s="60">
        <f t="shared" ref="AS110:AU110" si="161">C110+I110+O110+U110+AM110+AG110+AA110</f>
        <v>354385.13874999998</v>
      </c>
      <c r="AT110" s="60">
        <f t="shared" si="161"/>
        <v>227774.67031250001</v>
      </c>
      <c r="AU110" s="60">
        <f t="shared" si="161"/>
        <v>73500</v>
      </c>
      <c r="AV110" s="75">
        <f>SUM(AR110:AU110)</f>
        <v>2787471.1189000001</v>
      </c>
    </row>
    <row r="111" spans="1:48" x14ac:dyDescent="0.25">
      <c r="A111" s="21" t="s">
        <v>90</v>
      </c>
      <c r="B111" s="61">
        <f>(((8975*(B64*0.9))+((200*(B64*0.85))+((80*(B64*0.85))+(B65*10)+(B109*0.015)+(B109*0.03)))))</f>
        <v>235445.390675</v>
      </c>
      <c r="C111" s="61">
        <f>(((8975*(C64*0.9))+((200*(C64*0.875))+((80*(C64*0.85))+(C65*10)+(C109*0.015)+(C109*0.03)))))</f>
        <v>30184.415000000001</v>
      </c>
      <c r="D111" s="61">
        <f>(((8975*(D64*0.85))+((200*(D64*0.85))+((80*(D64*0.85))+(D65*10)+(D109*0.015)+(D109*0.03)))))</f>
        <v>28279.65</v>
      </c>
      <c r="E111" s="61">
        <f t="shared" ref="E111" si="162">(((8150*(E64*0.85))+((185*(E64*0.85))+((75*(E64*0.85))+(E65*7)+(E109*0.015)+(E109*0.03)))))</f>
        <v>0</v>
      </c>
      <c r="F111" s="75">
        <f t="shared" ref="F111:F115" si="163">SUM(B111:E111)</f>
        <v>293909.45567500003</v>
      </c>
      <c r="H111" s="61">
        <f>(((8975*(H64*0.9))+((200*(H64*0.85))+((80*(H64*0.85))+(H65*10)+(H109*0.015)+(H109*0.03)))))</f>
        <v>220962.973</v>
      </c>
      <c r="I111" s="61">
        <f>(((8975*(I64*0.9))+((200*(I64*0.875))+((80*(I64*0.85))+(I65*10)+(I109*0.015)+(I109*0.03)))))</f>
        <v>30179.415000000001</v>
      </c>
      <c r="J111" s="61">
        <f>(((8975*(J64*0.85))+((200*(J64*0.85))+((80*(J64*0.85))+(J65*10)+(J109*0.015)+(J109*0.03)))))</f>
        <v>28263.45</v>
      </c>
      <c r="K111" s="61">
        <f t="shared" ref="K111" si="164">(((8150*(K64*0.85))+((185*(K64*0.85))+((75*(K64*0.85))+(K65*7)+(K109*0.015)+(K109*0.03)))))</f>
        <v>0</v>
      </c>
      <c r="L111" s="75">
        <f t="shared" ref="L111:L115" si="165">SUM(H111:K111)</f>
        <v>279405.83799999999</v>
      </c>
      <c r="N111" s="61">
        <f>(((8975*(N64*0.9))+((200*(N64*0.85))+((80*(N64*0.85))+(N65*10)+(N109*0.015)+(N109*0.03)))))</f>
        <v>445868.00300000003</v>
      </c>
      <c r="O111" s="61">
        <f>(((8975*(O64*0.9))+((200*(O64*0.875))+((80*(O64*0.85))+(O65*10)+(O109*0.015)+(O109*0.03)))))</f>
        <v>36456.744999999995</v>
      </c>
      <c r="P111" s="61">
        <f>(((8975*(P64*0.85))+((200*(P64*0.85))+((80*(P64*0.85))+(P65*10)+(P109*0.015)+(P109*0.03)))))</f>
        <v>84255.75</v>
      </c>
      <c r="Q111" s="61">
        <f t="shared" ref="Q111" si="166">(((8150*(Q64*0.85))+((185*(Q64*0.85))+((75*(Q64*0.85))+(Q65*7)+(Q109*0.015)+(Q109*0.03)))))</f>
        <v>0</v>
      </c>
      <c r="R111" s="75">
        <f t="shared" ref="R111:R115" si="167">SUM(N111:Q111)</f>
        <v>566580.49800000002</v>
      </c>
      <c r="T111" s="61">
        <f>(((8975*(T64*0.85))+((200*(T64*0.85))+((80*(T64*0.85))+(T65*10)+(T109*0.015)+(T109*0.03)))))</f>
        <v>42902.175000000003</v>
      </c>
      <c r="U111" s="61">
        <v>0</v>
      </c>
      <c r="V111" s="61">
        <f t="shared" ref="V111:W111" si="168">(((8975*(V64*0.85))+((200*(V64*0.85))+((80*(V64*0.85))+(V65*10)+(V109*0.015)+(V109*0.03)))))</f>
        <v>492.07500000000005</v>
      </c>
      <c r="W111" s="61">
        <f t="shared" si="168"/>
        <v>0</v>
      </c>
      <c r="X111" s="75">
        <f t="shared" ref="X111:X115" si="169">SUM(T111:W111)</f>
        <v>43394.25</v>
      </c>
      <c r="Y111" s="194"/>
      <c r="Z111" s="61">
        <f>(((8975*(Z64*0.85))+((200*(Z64*0.85))+((80*(Z64*0.85))+(Z65*10)+(Z109*0.015)+(Z109*0.03)))))</f>
        <v>52847.55</v>
      </c>
      <c r="AA111" s="61">
        <v>0</v>
      </c>
      <c r="AB111" s="61">
        <f t="shared" ref="AB111:AC111" si="170">(((8975*(AB64*0.85))+((200*(AB64*0.85))+((80*(AB64*0.85))+(AB65*10)+(AB109*0.015)+(AB109*0.03)))))</f>
        <v>9313.15</v>
      </c>
      <c r="AC111" s="61">
        <f t="shared" si="170"/>
        <v>0</v>
      </c>
      <c r="AD111" s="75">
        <f t="shared" ref="AD111:AD115" si="171">SUM(Z111:AC111)</f>
        <v>62160.700000000004</v>
      </c>
      <c r="AE111" s="194"/>
      <c r="AF111" s="61">
        <f>(((8975*(AF64*0.85))+((200*(AF64*0.85))+((80*(AF64*0.85))+(AF65*10)+(AF109*0.015)+(AF109*0.03)))))</f>
        <v>0</v>
      </c>
      <c r="AG111" s="61">
        <v>0</v>
      </c>
      <c r="AH111" s="61">
        <f t="shared" ref="AH111:AI111" si="172">(((8975*(AH64*0.85))+((200*(AH64*0.85))+((80*(AH64*0.85))+(AH65*10)+(AH109*0.015)+(AH109*0.03)))))</f>
        <v>0</v>
      </c>
      <c r="AI111" s="61">
        <f t="shared" si="172"/>
        <v>0</v>
      </c>
      <c r="AJ111" s="75">
        <f t="shared" ref="AJ111:AJ115" si="173">SUM(AF111:AI111)</f>
        <v>0</v>
      </c>
      <c r="AL111" s="61">
        <f>AL109*0.17</f>
        <v>41225.170000000006</v>
      </c>
      <c r="AM111" s="61">
        <f t="shared" ref="AM111:AN111" si="174">AM109*0.17</f>
        <v>49526.865000000005</v>
      </c>
      <c r="AN111" s="61">
        <f t="shared" si="174"/>
        <v>11107.90625</v>
      </c>
      <c r="AO111" s="61">
        <f>AO109*0.15</f>
        <v>30000</v>
      </c>
      <c r="AP111" s="75">
        <f t="shared" ref="AP111:AP115" si="175">SUM(AL111:AO111)</f>
        <v>131859.94125</v>
      </c>
      <c r="AR111" s="60">
        <f t="shared" ref="AR111:AR115" si="176">B111+H111+N111+T111+AL111+AF111+Z111</f>
        <v>1039251.2616750002</v>
      </c>
      <c r="AS111" s="60">
        <f t="shared" ref="AS111:AS115" si="177">C111+I111+O111+U111+AM111+AG111+AA111</f>
        <v>146347.44</v>
      </c>
      <c r="AT111" s="60">
        <f t="shared" ref="AT111:AT115" si="178">D111+J111+P111+V111+AN111+AH111+AB111</f>
        <v>161711.98125000001</v>
      </c>
      <c r="AU111" s="60">
        <f t="shared" ref="AU111:AU115" si="179">E111+K111+Q111+W111+AO111+AI111+AC111</f>
        <v>30000</v>
      </c>
      <c r="AV111" s="75">
        <f t="shared" ref="AV111:AV115" si="180">SUM(AR111:AU111)</f>
        <v>1377310.6829250001</v>
      </c>
    </row>
    <row r="112" spans="1:48" x14ac:dyDescent="0.25">
      <c r="A112" s="21" t="s">
        <v>91</v>
      </c>
      <c r="B112" s="61">
        <f>(2500*B39)+(2000*B40)+((1500*(B42+B44+B45))+((1250*(B46+B47))+((1250*(B54+B53+B55+B56+B57+B58+B60))+((500*(B51+B49+B48))))))+(1000*5)</f>
        <v>28625</v>
      </c>
      <c r="C112" s="61">
        <f>(2500*C39)+(2000*C40)+((1500*(C42+C44+C45))+((1250*(C46+C47))+((1250*(C54+C53+C55+C56+C57+C58+C60))+((500*(C51+C49+C48))))))+(1000*2)</f>
        <v>5125</v>
      </c>
      <c r="D112" s="61">
        <f>(2500*D39)+(2000*D40)+((1500*(D42+D44+D45))+((1250*(D46+D47))+((1250*(D54+D53+D55+D56+D57+D58+D60))+((500*(D52))))))+(1000*1)</f>
        <v>2500</v>
      </c>
      <c r="E112" s="61">
        <f>(2500*E39)+(2000*E40)+((1500*(E42+E44+E45))+((1250*(E46+E47))+((1250*(E54+E53+E55+E56+E57+E58+E60))+((500*(E51+E49+E48))))))</f>
        <v>0</v>
      </c>
      <c r="F112" s="75">
        <f t="shared" si="163"/>
        <v>36250</v>
      </c>
      <c r="H112" s="61">
        <f>(2500*H39)+(2000*H40)+((1500*(H42+H44+H45))+((1250*(H46+H47))+((1250*(H54+H53+H55+H56+H57+H58+H60))+((500*(H51+H49+H48))))))+(1000*5)</f>
        <v>28000</v>
      </c>
      <c r="I112" s="61">
        <f>(2500*I39)+(2000*I40)+((1500*(I42+I44+I45))+((1250*(I46+I47))+((1250*(I54+I53+I55+I56+I57+I58+I60))+((500*(I51+I49+I48))))))+(1000*2)</f>
        <v>5125</v>
      </c>
      <c r="J112" s="61">
        <f>(2500*J39)+(2000*J40)+((1500*(J42+J44+J45))+((1250*(J46+J47))+((1250*(J54+J53+J55+J56+J57+J58+J60))+((500*(J52))))))+(1000*1)</f>
        <v>2500</v>
      </c>
      <c r="K112" s="61">
        <f>(2500*K39)+(2000*K40)+((1500*(K42+K44+K45))+((1250*(K46+K47))+((1250*(K54+K53+K55+K56+K57+K58+K60))+((500*(K51+K49+K48))))))</f>
        <v>0</v>
      </c>
      <c r="L112" s="75">
        <f t="shared" si="165"/>
        <v>35625</v>
      </c>
      <c r="N112" s="61">
        <f>(2500*N39)+(2000*N40)+((1500*(N42+N44+N45))+((1250*(N46+N47))+((1250*(N54+N53+N55+N56+N57+N58+N60))+((500*(N51+N49+N48))))))+(1000*5)</f>
        <v>43250</v>
      </c>
      <c r="O112" s="61">
        <f>(2500*O39)+(2000*O40)+((1500*(O42+O44+O45))+((1250*(O46+O47))+((1250*(O54+O53+O55+O56+O57+O58+O60))+((500*(O51+O49+O48))))))+(1000*2)</f>
        <v>5750</v>
      </c>
      <c r="P112" s="61">
        <f>(2500*P39)+(2000*P40)+((1500*(P42+P44+P45))+((1250*(P46+P47))+((1250*(P54+P53+P55+P56+P57+P58+P60))+((500*(P52))))))+(1000*1)</f>
        <v>5500</v>
      </c>
      <c r="Q112" s="61">
        <f>(2500*Q39)+(2000*Q40)+((1500*(Q42+Q44+Q45))+((1250*(Q46+Q47))+((1250*(Q54+Q53+Q55+Q56+Q57+Q58+Q60))+((500*(Q51+Q49+Q48))))))</f>
        <v>0</v>
      </c>
      <c r="R112" s="75">
        <f t="shared" si="167"/>
        <v>54500</v>
      </c>
      <c r="T112" s="61">
        <f>(2500*T39)+(2000*T40)+((1500*(T42+T44+T45))+((1250*(T46+T47))+((1250*(T54+T53+T55+T56+T57+T58+T60))+((500*(T51+T49+T48))))))+(1000*1)</f>
        <v>5750</v>
      </c>
      <c r="U112" s="61">
        <f>(2500*U39)+(2000*U40)+((1500*(U42+U44+U45))+((1250*(U46+U47))+((1250*(U54+U53+U55+U56+U57+U58+U60))+((500*(U51+U49+U48))))))</f>
        <v>0</v>
      </c>
      <c r="V112" s="61">
        <f t="shared" ref="V112:W112" si="181">(2500*V39)+(2000*V40)+((1500*(V42+V44+V45))+((1250*(V46+V47))+((1250*(V54+V53+V55+V56+V57+V58+V60))+((500*(V51+V49+V48))))))</f>
        <v>0</v>
      </c>
      <c r="W112" s="61">
        <f t="shared" si="181"/>
        <v>0</v>
      </c>
      <c r="X112" s="75">
        <f t="shared" si="169"/>
        <v>5750</v>
      </c>
      <c r="Y112" s="194"/>
      <c r="Z112" s="61">
        <f>((2500*Z39)+(2000*Z40)+((1500*(Z42+Z44+Z45))+((1250*(Z46+Z47))+((1250*(Z54+Z53+Z55+Z56+Z57+Z58+Z60))+((500*(Z51+Z49+Z48))))))+(1000*1))*0.4</f>
        <v>2500</v>
      </c>
      <c r="AA112" s="61">
        <f>(2500*AA39)+(2000*AA40)+((1500*(AA42+AA44+AA45))+((1250*(AA46+AA47))+((1250*(AA54+AA53+AA55+AA56+AA57+AA58+AA60))+((500*(AA51+AA49+AA48))))))</f>
        <v>0</v>
      </c>
      <c r="AB112" s="61">
        <f t="shared" ref="AB112:AC112" si="182">(2500*AB39)+(2000*AB40)+((1500*(AB42+AB44+AB45))+((1250*(AB46+AB47))+((1250*(AB54+AB53+AB55+AB56+AB57+AB58+AB60))+((500*(AB51+AB49+AB48))))))</f>
        <v>0</v>
      </c>
      <c r="AC112" s="61">
        <f t="shared" si="182"/>
        <v>0</v>
      </c>
      <c r="AD112" s="75">
        <f t="shared" si="171"/>
        <v>2500</v>
      </c>
      <c r="AE112" s="194"/>
      <c r="AF112" s="61">
        <v>0</v>
      </c>
      <c r="AG112" s="61">
        <f>(2500*AG39)+(2000*AG40)+((1500*(AG42+AG44+AG45))+((1250*(AG46+AG47))+((1250*(AG54+AG53+AG55+AG56+AG57+AG58+AG60))+((500*(AG51+AG49+AG48))))))</f>
        <v>0</v>
      </c>
      <c r="AH112" s="61">
        <f t="shared" ref="AH112:AI112" si="183">(2500*AH39)+(2000*AH40)+((1500*(AH42+AH44+AH45))+((1250*(AH46+AH47))+((1250*(AH54+AH53+AH55+AH56+AH57+AH58+AH60))+((500*(AH51+AH49+AH48))))))</f>
        <v>0</v>
      </c>
      <c r="AI112" s="61">
        <f t="shared" si="183"/>
        <v>0</v>
      </c>
      <c r="AJ112" s="75">
        <f t="shared" si="173"/>
        <v>0</v>
      </c>
      <c r="AL112" s="61">
        <f>(2500*AL39)+(2000*AL40)+((1500*(AL42+AL44+AL45))+((1250*(AL46+AL47))+((1250*(AL54+AL53+AL55+AL56+AL57+AL58+AL60))+((500*(AL51+AL49+AL48))))))</f>
        <v>3250</v>
      </c>
      <c r="AM112" s="61">
        <f>(2500*AM39)+(2000*AM40)+((1500*(AM42+AM44+AM45))+((1250*(AM46+AM47))+((1250*(AM54+AM53+AM55+AM56+AM57+AM58+AM60))+((500*(AM51+AM49+AM48))))))</f>
        <v>4500</v>
      </c>
      <c r="AN112" s="61">
        <f>(2500*AN39)+(2000*AN40)+((1500*(AN42+AN44+AN45))+((1250*(AN46+AN47))+((1250*(AN54+AN53+AN55+AN56+AN57+AN58+AN60))+((500*(AN52))))))+(1000*1)</f>
        <v>1500</v>
      </c>
      <c r="AO112" s="61">
        <f>(2500*AO39)+(2000*AO40)+((1500*(AO42+AO44+AO45))+((1250*(AO46+AO47))+((1250*(AO54+AO53+AO55+AO56+AO57+AO58+AO60))+((500*(AO51+AO49+AO48))))))</f>
        <v>3000</v>
      </c>
      <c r="AP112" s="75">
        <f t="shared" si="175"/>
        <v>12250</v>
      </c>
      <c r="AR112" s="60">
        <f t="shared" si="176"/>
        <v>111375</v>
      </c>
      <c r="AS112" s="60">
        <f t="shared" si="177"/>
        <v>20500</v>
      </c>
      <c r="AT112" s="60">
        <f t="shared" si="178"/>
        <v>12000</v>
      </c>
      <c r="AU112" s="60">
        <f t="shared" si="179"/>
        <v>3000</v>
      </c>
      <c r="AV112" s="75">
        <f t="shared" si="180"/>
        <v>146875</v>
      </c>
    </row>
    <row r="113" spans="1:48" x14ac:dyDescent="0.25">
      <c r="A113" s="21" t="s">
        <v>92</v>
      </c>
      <c r="B113" s="61">
        <f>250*B64</f>
        <v>5375</v>
      </c>
      <c r="C113" s="61">
        <f t="shared" ref="C113:E113" si="184">250*C64</f>
        <v>625</v>
      </c>
      <c r="D113" s="61">
        <f t="shared" si="184"/>
        <v>750</v>
      </c>
      <c r="E113" s="61">
        <f t="shared" si="184"/>
        <v>0</v>
      </c>
      <c r="F113" s="75">
        <f t="shared" si="163"/>
        <v>6750</v>
      </c>
      <c r="H113" s="61">
        <f>250*H64</f>
        <v>4750</v>
      </c>
      <c r="I113" s="61">
        <f t="shared" ref="I113:K113" si="185">250*I64</f>
        <v>625</v>
      </c>
      <c r="J113" s="61">
        <f t="shared" si="185"/>
        <v>750</v>
      </c>
      <c r="K113" s="61">
        <f t="shared" si="185"/>
        <v>0</v>
      </c>
      <c r="L113" s="75">
        <f t="shared" si="165"/>
        <v>6125</v>
      </c>
      <c r="N113" s="61">
        <f>250*N64</f>
        <v>10000</v>
      </c>
      <c r="O113" s="61">
        <f t="shared" ref="O113:Q113" si="186">250*O64</f>
        <v>750</v>
      </c>
      <c r="P113" s="61">
        <f t="shared" si="186"/>
        <v>2250</v>
      </c>
      <c r="Q113" s="61">
        <f t="shared" si="186"/>
        <v>0</v>
      </c>
      <c r="R113" s="75">
        <f t="shared" si="167"/>
        <v>13000</v>
      </c>
      <c r="T113" s="61">
        <f>250*T64</f>
        <v>1000</v>
      </c>
      <c r="U113" s="61">
        <f t="shared" ref="U113:W113" si="187">250*U64</f>
        <v>0</v>
      </c>
      <c r="V113" s="61">
        <f t="shared" si="187"/>
        <v>0</v>
      </c>
      <c r="W113" s="61">
        <f t="shared" si="187"/>
        <v>0</v>
      </c>
      <c r="X113" s="75">
        <f t="shared" si="169"/>
        <v>1000</v>
      </c>
      <c r="Y113" s="194"/>
      <c r="Z113" s="61">
        <f>250*Z64</f>
        <v>1250</v>
      </c>
      <c r="AA113" s="61">
        <f t="shared" ref="AA113:AC113" si="188">250*AA64</f>
        <v>0</v>
      </c>
      <c r="AB113" s="61">
        <f t="shared" si="188"/>
        <v>250</v>
      </c>
      <c r="AC113" s="61">
        <f t="shared" si="188"/>
        <v>0</v>
      </c>
      <c r="AD113" s="75">
        <f t="shared" si="171"/>
        <v>1500</v>
      </c>
      <c r="AE113" s="194"/>
      <c r="AF113" s="61">
        <f>250*AF64</f>
        <v>0</v>
      </c>
      <c r="AG113" s="61">
        <f t="shared" ref="AG113:AI113" si="189">250*AG64</f>
        <v>0</v>
      </c>
      <c r="AH113" s="61">
        <f t="shared" si="189"/>
        <v>0</v>
      </c>
      <c r="AI113" s="61">
        <f t="shared" si="189"/>
        <v>0</v>
      </c>
      <c r="AJ113" s="75">
        <f t="shared" si="173"/>
        <v>0</v>
      </c>
      <c r="AL113" s="61">
        <f>250*AL64</f>
        <v>750</v>
      </c>
      <c r="AM113" s="61">
        <f t="shared" ref="AM113:AO113" si="190">250*AM64</f>
        <v>750</v>
      </c>
      <c r="AN113" s="61">
        <f t="shared" si="190"/>
        <v>250</v>
      </c>
      <c r="AO113" s="61">
        <f t="shared" si="190"/>
        <v>500</v>
      </c>
      <c r="AP113" s="75">
        <f t="shared" si="175"/>
        <v>2250</v>
      </c>
      <c r="AR113" s="60">
        <f t="shared" si="176"/>
        <v>23125</v>
      </c>
      <c r="AS113" s="60">
        <f t="shared" si="177"/>
        <v>2750</v>
      </c>
      <c r="AT113" s="60">
        <f t="shared" si="178"/>
        <v>4250</v>
      </c>
      <c r="AU113" s="60">
        <f t="shared" si="179"/>
        <v>500</v>
      </c>
      <c r="AV113" s="75">
        <f t="shared" si="180"/>
        <v>30625</v>
      </c>
    </row>
    <row r="114" spans="1:48" x14ac:dyDescent="0.25">
      <c r="A114" s="21" t="s">
        <v>93</v>
      </c>
      <c r="B114" s="63"/>
      <c r="C114" s="63"/>
      <c r="D114" s="63"/>
      <c r="E114" s="63"/>
      <c r="F114" s="75">
        <f t="shared" si="163"/>
        <v>0</v>
      </c>
      <c r="H114" s="63"/>
      <c r="I114" s="63"/>
      <c r="J114" s="63"/>
      <c r="K114" s="63"/>
      <c r="L114" s="75">
        <f t="shared" si="165"/>
        <v>0</v>
      </c>
      <c r="N114" s="63"/>
      <c r="O114" s="63"/>
      <c r="P114" s="63"/>
      <c r="Q114" s="63"/>
      <c r="R114" s="75">
        <f t="shared" si="167"/>
        <v>0</v>
      </c>
      <c r="T114" s="63"/>
      <c r="U114" s="63"/>
      <c r="V114" s="63"/>
      <c r="W114" s="63"/>
      <c r="X114" s="75">
        <f t="shared" si="169"/>
        <v>0</v>
      </c>
      <c r="Y114" s="194"/>
      <c r="Z114" s="63"/>
      <c r="AA114" s="63"/>
      <c r="AB114" s="63"/>
      <c r="AC114" s="63"/>
      <c r="AD114" s="75">
        <f t="shared" si="171"/>
        <v>0</v>
      </c>
      <c r="AE114" s="194"/>
      <c r="AF114" s="63"/>
      <c r="AG114" s="63"/>
      <c r="AH114" s="63"/>
      <c r="AI114" s="63"/>
      <c r="AJ114" s="75">
        <f t="shared" si="173"/>
        <v>0</v>
      </c>
      <c r="AL114" s="61">
        <v>0</v>
      </c>
      <c r="AM114" s="61"/>
      <c r="AN114" s="61"/>
      <c r="AO114" s="61"/>
      <c r="AP114" s="75">
        <f t="shared" si="175"/>
        <v>0</v>
      </c>
      <c r="AR114" s="60">
        <f t="shared" si="176"/>
        <v>0</v>
      </c>
      <c r="AS114" s="60">
        <f t="shared" si="177"/>
        <v>0</v>
      </c>
      <c r="AT114" s="60">
        <f t="shared" si="178"/>
        <v>0</v>
      </c>
      <c r="AU114" s="60">
        <f t="shared" si="179"/>
        <v>0</v>
      </c>
      <c r="AV114" s="75">
        <f t="shared" si="180"/>
        <v>0</v>
      </c>
    </row>
    <row r="115" spans="1:48" x14ac:dyDescent="0.25">
      <c r="A115" s="22" t="s">
        <v>94</v>
      </c>
      <c r="B115" s="64">
        <v>1500</v>
      </c>
      <c r="C115" s="64"/>
      <c r="D115" s="64"/>
      <c r="E115" s="64"/>
      <c r="F115" s="75">
        <f t="shared" si="163"/>
        <v>1500</v>
      </c>
      <c r="H115" s="64">
        <v>1500</v>
      </c>
      <c r="I115" s="64"/>
      <c r="J115" s="64"/>
      <c r="K115" s="64"/>
      <c r="L115" s="75">
        <f t="shared" si="165"/>
        <v>1500</v>
      </c>
      <c r="N115" s="64">
        <v>5000</v>
      </c>
      <c r="O115" s="64"/>
      <c r="P115" s="64"/>
      <c r="Q115" s="64"/>
      <c r="R115" s="75">
        <f t="shared" si="167"/>
        <v>5000</v>
      </c>
      <c r="T115" s="64">
        <v>2500</v>
      </c>
      <c r="U115" s="64"/>
      <c r="V115" s="64"/>
      <c r="W115" s="64"/>
      <c r="X115" s="75">
        <f t="shared" si="169"/>
        <v>2500</v>
      </c>
      <c r="Y115" s="194"/>
      <c r="Z115" s="64">
        <v>2500</v>
      </c>
      <c r="AA115" s="64"/>
      <c r="AB115" s="64"/>
      <c r="AC115" s="64"/>
      <c r="AD115" s="75">
        <f t="shared" si="171"/>
        <v>2500</v>
      </c>
      <c r="AE115" s="194"/>
      <c r="AF115" s="64">
        <v>0</v>
      </c>
      <c r="AG115" s="64"/>
      <c r="AH115" s="64"/>
      <c r="AI115" s="64"/>
      <c r="AJ115" s="75">
        <f t="shared" si="173"/>
        <v>0</v>
      </c>
      <c r="AL115" s="91"/>
      <c r="AM115" s="91"/>
      <c r="AN115" s="91"/>
      <c r="AO115" s="91"/>
      <c r="AP115" s="75">
        <f t="shared" si="175"/>
        <v>0</v>
      </c>
      <c r="AR115" s="60">
        <f t="shared" si="176"/>
        <v>13000</v>
      </c>
      <c r="AS115" s="60">
        <f t="shared" si="177"/>
        <v>0</v>
      </c>
      <c r="AT115" s="60">
        <f t="shared" si="178"/>
        <v>0</v>
      </c>
      <c r="AU115" s="60">
        <f t="shared" si="179"/>
        <v>0</v>
      </c>
      <c r="AV115" s="75">
        <f t="shared" si="180"/>
        <v>13000</v>
      </c>
    </row>
    <row r="116" spans="1:48" x14ac:dyDescent="0.25">
      <c r="A116" s="27"/>
      <c r="B116" s="76">
        <f>SUM(B110:B115)</f>
        <v>733401.1662625001</v>
      </c>
      <c r="C116" s="76">
        <f t="shared" ref="C116:F116" si="191">SUM(C110:C115)</f>
        <v>112571.44750000001</v>
      </c>
      <c r="D116" s="76">
        <f t="shared" si="191"/>
        <v>70016.350000000006</v>
      </c>
      <c r="E116" s="76">
        <f t="shared" si="191"/>
        <v>0</v>
      </c>
      <c r="F116" s="76">
        <f t="shared" si="191"/>
        <v>915988.96376250009</v>
      </c>
      <c r="H116" s="76">
        <f>SUM(H110:H115)</f>
        <v>770119.49949999992</v>
      </c>
      <c r="I116" s="76">
        <f t="shared" ref="I116:L116" si="192">SUM(I110:I115)</f>
        <v>112566.44750000001</v>
      </c>
      <c r="J116" s="76">
        <f t="shared" si="192"/>
        <v>69866.05</v>
      </c>
      <c r="K116" s="76">
        <f t="shared" si="192"/>
        <v>0</v>
      </c>
      <c r="L116" s="76">
        <f t="shared" si="192"/>
        <v>952551.99699999997</v>
      </c>
      <c r="N116" s="76">
        <f>SUM(N110:N115)</f>
        <v>1366431.65075</v>
      </c>
      <c r="O116" s="76">
        <f t="shared" ref="O116:R116" si="193">SUM(O110:O115)</f>
        <v>135545.7175</v>
      </c>
      <c r="P116" s="76">
        <f t="shared" si="193"/>
        <v>202638.25</v>
      </c>
      <c r="Q116" s="76">
        <f t="shared" si="193"/>
        <v>0</v>
      </c>
      <c r="R116" s="76">
        <f t="shared" si="193"/>
        <v>1704615.6182500003</v>
      </c>
      <c r="T116" s="76">
        <f>SUM(T110:T115)</f>
        <v>144202.51250000001</v>
      </c>
      <c r="U116" s="76">
        <f t="shared" ref="U116:X116" si="194">SUM(U110:U115)</f>
        <v>0</v>
      </c>
      <c r="V116" s="76">
        <f t="shared" si="194"/>
        <v>4565.3625000000002</v>
      </c>
      <c r="W116" s="76">
        <f t="shared" si="194"/>
        <v>0</v>
      </c>
      <c r="X116" s="76">
        <f t="shared" si="194"/>
        <v>148767.875</v>
      </c>
      <c r="Y116" s="199"/>
      <c r="Z116" s="76">
        <f>SUM(Z110:Z115)</f>
        <v>168850.95</v>
      </c>
      <c r="AA116" s="76">
        <f t="shared" ref="AA116:AD116" si="195">SUM(AA110:AA115)</f>
        <v>0</v>
      </c>
      <c r="AB116" s="76">
        <f t="shared" si="195"/>
        <v>21453.35</v>
      </c>
      <c r="AC116" s="76">
        <f t="shared" si="195"/>
        <v>0</v>
      </c>
      <c r="AD116" s="76">
        <f t="shared" si="195"/>
        <v>190304.3</v>
      </c>
      <c r="AE116" s="199"/>
      <c r="AF116" s="76">
        <f>SUM(AF110:AF115)</f>
        <v>0</v>
      </c>
      <c r="AG116" s="76">
        <f t="shared" ref="AG116:AJ116" si="196">SUM(AG110:AG115)</f>
        <v>0</v>
      </c>
      <c r="AH116" s="76">
        <f t="shared" si="196"/>
        <v>0</v>
      </c>
      <c r="AI116" s="76">
        <f t="shared" si="196"/>
        <v>0</v>
      </c>
      <c r="AJ116" s="76">
        <f t="shared" si="196"/>
        <v>0</v>
      </c>
      <c r="AL116" s="76">
        <f>SUM(AL110:AL115)</f>
        <v>135556.79250000001</v>
      </c>
      <c r="AM116" s="76">
        <f t="shared" ref="AM116:AP116" si="197">SUM(AM110:AM115)</f>
        <v>163298.96625</v>
      </c>
      <c r="AN116" s="76">
        <f t="shared" si="197"/>
        <v>37197.2890625</v>
      </c>
      <c r="AO116" s="76">
        <f t="shared" si="197"/>
        <v>107000</v>
      </c>
      <c r="AP116" s="76">
        <f t="shared" si="197"/>
        <v>443053.04781250004</v>
      </c>
      <c r="AR116" s="76">
        <f>SUM(AR110:AR115)</f>
        <v>3318562.5715125003</v>
      </c>
      <c r="AS116" s="76">
        <f t="shared" ref="AS116:AV116" si="198">SUM(AS110:AS115)</f>
        <v>523982.57874999999</v>
      </c>
      <c r="AT116" s="76">
        <f t="shared" si="198"/>
        <v>405736.65156250005</v>
      </c>
      <c r="AU116" s="76">
        <f t="shared" si="198"/>
        <v>107000</v>
      </c>
      <c r="AV116" s="76">
        <f t="shared" si="198"/>
        <v>4355281.801825</v>
      </c>
    </row>
    <row r="117" spans="1:48" x14ac:dyDescent="0.25">
      <c r="B117" s="77"/>
      <c r="C117" s="77"/>
      <c r="D117" s="77"/>
      <c r="E117" s="77"/>
      <c r="F117" s="77"/>
      <c r="H117" s="77"/>
      <c r="I117" s="77"/>
      <c r="J117" s="77"/>
      <c r="K117" s="77"/>
      <c r="L117" s="77"/>
      <c r="N117" s="77"/>
      <c r="O117" s="77"/>
      <c r="P117" s="77"/>
      <c r="Q117" s="77"/>
      <c r="R117" s="77"/>
      <c r="T117" s="77"/>
      <c r="U117" s="77"/>
      <c r="V117" s="77"/>
      <c r="W117" s="77"/>
      <c r="X117" s="77"/>
      <c r="Y117" s="79"/>
      <c r="Z117" s="77"/>
      <c r="AA117" s="77"/>
      <c r="AB117" s="77"/>
      <c r="AC117" s="77"/>
      <c r="AD117" s="77"/>
      <c r="AE117" s="79"/>
      <c r="AF117" s="77"/>
      <c r="AG117" s="77"/>
      <c r="AH117" s="77"/>
      <c r="AI117" s="77"/>
      <c r="AJ117" s="77"/>
      <c r="AL117" s="57"/>
      <c r="AM117" s="57"/>
      <c r="AN117" s="57"/>
      <c r="AO117" s="57"/>
      <c r="AP117" s="77"/>
      <c r="AR117" s="57"/>
      <c r="AS117" s="57"/>
      <c r="AT117" s="57"/>
      <c r="AU117" s="57"/>
      <c r="AV117" s="77"/>
    </row>
    <row r="118" spans="1:48" x14ac:dyDescent="0.25">
      <c r="A118" s="28"/>
      <c r="B118" s="78" t="s">
        <v>157</v>
      </c>
      <c r="C118" s="78" t="s">
        <v>158</v>
      </c>
      <c r="D118" s="78" t="s">
        <v>159</v>
      </c>
      <c r="E118" s="78" t="str">
        <f>E91</f>
        <v>Other</v>
      </c>
      <c r="F118" s="78" t="str">
        <f>F91</f>
        <v>FY27- Mtn</v>
      </c>
      <c r="H118" s="78" t="s">
        <v>157</v>
      </c>
      <c r="I118" s="78" t="s">
        <v>158</v>
      </c>
      <c r="J118" s="78" t="s">
        <v>159</v>
      </c>
      <c r="K118" s="78" t="str">
        <f>K91</f>
        <v>Other</v>
      </c>
      <c r="L118" s="78" t="str">
        <f>L91</f>
        <v>FY27- Bon</v>
      </c>
      <c r="N118" s="78" t="s">
        <v>157</v>
      </c>
      <c r="O118" s="78" t="s">
        <v>158</v>
      </c>
      <c r="P118" s="78" t="s">
        <v>159</v>
      </c>
      <c r="Q118" s="78" t="str">
        <f>Q91</f>
        <v>Other</v>
      </c>
      <c r="R118" s="78" t="str">
        <f>R91</f>
        <v>FY27- East</v>
      </c>
      <c r="T118" s="78" t="s">
        <v>157</v>
      </c>
      <c r="U118" s="78" t="s">
        <v>158</v>
      </c>
      <c r="V118" s="78" t="s">
        <v>159</v>
      </c>
      <c r="W118" s="78" t="str">
        <f>W91</f>
        <v>Other</v>
      </c>
      <c r="X118" s="78" t="str">
        <f>X91</f>
        <v>FY27- Cactus</v>
      </c>
      <c r="Y118" s="201"/>
      <c r="Z118" s="78" t="s">
        <v>157</v>
      </c>
      <c r="AA118" s="78" t="s">
        <v>158</v>
      </c>
      <c r="AB118" s="78" t="s">
        <v>159</v>
      </c>
      <c r="AC118" s="78" t="str">
        <f>AC91</f>
        <v>Other</v>
      </c>
      <c r="AD118" s="78" t="str">
        <f>AD91</f>
        <v>FY27- Sahara</v>
      </c>
      <c r="AE118" s="201"/>
      <c r="AF118" s="78" t="s">
        <v>157</v>
      </c>
      <c r="AG118" s="78" t="s">
        <v>158</v>
      </c>
      <c r="AH118" s="78" t="s">
        <v>159</v>
      </c>
      <c r="AI118" s="78" t="str">
        <f>AI91</f>
        <v>Other</v>
      </c>
      <c r="AJ118" s="78" t="str">
        <f>AJ91</f>
        <v>FY27- VV</v>
      </c>
      <c r="AL118" s="78" t="s">
        <v>157</v>
      </c>
      <c r="AM118" s="78" t="s">
        <v>158</v>
      </c>
      <c r="AN118" s="78" t="s">
        <v>159</v>
      </c>
      <c r="AO118" s="78" t="str">
        <f>AO91</f>
        <v>Grant</v>
      </c>
      <c r="AP118" s="78" t="str">
        <f>AP91</f>
        <v>FY27 - Central</v>
      </c>
      <c r="AR118" s="78" t="s">
        <v>157</v>
      </c>
      <c r="AS118" s="78" t="s">
        <v>158</v>
      </c>
      <c r="AT118" s="78" t="s">
        <v>159</v>
      </c>
      <c r="AU118" s="78" t="str">
        <f>AU91</f>
        <v>Other</v>
      </c>
      <c r="AV118" s="78" t="str">
        <f>AV91</f>
        <v>FY27- Sys</v>
      </c>
    </row>
    <row r="119" spans="1:48" x14ac:dyDescent="0.25">
      <c r="A119" s="20" t="s">
        <v>95</v>
      </c>
      <c r="B119" s="75">
        <f>(77250+77250)*1.01</f>
        <v>156045</v>
      </c>
      <c r="C119" s="75"/>
      <c r="D119" s="75"/>
      <c r="E119" s="75"/>
      <c r="F119" s="75">
        <f>SUM(B119:E119)</f>
        <v>156045</v>
      </c>
      <c r="H119" s="75">
        <f>(75000+26000)*1.01</f>
        <v>102010</v>
      </c>
      <c r="I119" s="75"/>
      <c r="J119" s="75"/>
      <c r="K119" s="75"/>
      <c r="L119" s="75">
        <f>SUM(H119:K119)</f>
        <v>102010</v>
      </c>
      <c r="N119" s="75">
        <f>(80350+77000+87850+72100)*1.01</f>
        <v>320473</v>
      </c>
      <c r="O119" s="75"/>
      <c r="P119" s="75"/>
      <c r="Q119" s="75"/>
      <c r="R119" s="75">
        <f>SUM(N119:Q119)</f>
        <v>320473</v>
      </c>
      <c r="T119" s="75">
        <f>80000*1.01</f>
        <v>80800</v>
      </c>
      <c r="U119" s="75"/>
      <c r="V119" s="75"/>
      <c r="W119" s="75"/>
      <c r="X119" s="75">
        <f>SUM(T119:W119)</f>
        <v>80800</v>
      </c>
      <c r="Y119" s="194"/>
      <c r="Z119" s="75">
        <v>80000</v>
      </c>
      <c r="AA119" s="75"/>
      <c r="AB119" s="75"/>
      <c r="AC119" s="75"/>
      <c r="AD119" s="75">
        <f>SUM(Z119:AC119)</f>
        <v>80000</v>
      </c>
      <c r="AE119" s="194"/>
      <c r="AF119" s="75">
        <v>0</v>
      </c>
      <c r="AG119" s="75"/>
      <c r="AH119" s="75"/>
      <c r="AI119" s="75"/>
      <c r="AJ119" s="75">
        <f>SUM(AF119:AI119)</f>
        <v>0</v>
      </c>
      <c r="AL119" s="75"/>
      <c r="AM119" s="75"/>
      <c r="AN119" s="75"/>
      <c r="AO119" s="75">
        <v>300000</v>
      </c>
      <c r="AP119" s="75">
        <f>SUM(AL119:AO119)</f>
        <v>300000</v>
      </c>
      <c r="AR119" s="75">
        <f>B119+H119+N119+T119+AL119+AF119+Z119</f>
        <v>739328</v>
      </c>
      <c r="AS119" s="75">
        <f t="shared" ref="AS119:AU119" si="199">C119+I119+O119+U119+AM119+AG119+AA119</f>
        <v>0</v>
      </c>
      <c r="AT119" s="75">
        <f t="shared" si="199"/>
        <v>0</v>
      </c>
      <c r="AU119" s="75">
        <f t="shared" si="199"/>
        <v>300000</v>
      </c>
      <c r="AV119" s="75">
        <f>SUM(AR119:AU119)</f>
        <v>1039328</v>
      </c>
    </row>
    <row r="120" spans="1:48" x14ac:dyDescent="0.25">
      <c r="A120" s="21" t="s">
        <v>36</v>
      </c>
      <c r="B120" s="63">
        <f>85000*1.01</f>
        <v>85850</v>
      </c>
      <c r="C120" s="63"/>
      <c r="D120" s="63"/>
      <c r="E120" s="63"/>
      <c r="F120" s="75">
        <f t="shared" ref="F120:F124" si="200">SUM(B120:E120)</f>
        <v>85850</v>
      </c>
      <c r="H120" s="63">
        <f>77250*1.01</f>
        <v>78022.5</v>
      </c>
      <c r="I120" s="63"/>
      <c r="J120" s="63"/>
      <c r="K120" s="63"/>
      <c r="L120" s="75">
        <f t="shared" ref="L120:L124" si="201">SUM(H120:K120)</f>
        <v>78022.5</v>
      </c>
      <c r="N120" s="63">
        <f>77250*1.01</f>
        <v>78022.5</v>
      </c>
      <c r="O120" s="63"/>
      <c r="P120" s="63"/>
      <c r="Q120" s="63"/>
      <c r="R120" s="75">
        <f t="shared" ref="R120:R124" si="202">SUM(N120:Q120)</f>
        <v>78022.5</v>
      </c>
      <c r="T120" s="63"/>
      <c r="U120" s="63"/>
      <c r="V120" s="63"/>
      <c r="W120" s="63"/>
      <c r="X120" s="75">
        <f t="shared" ref="X120:X124" si="203">SUM(T120:W120)</f>
        <v>0</v>
      </c>
      <c r="Y120" s="194"/>
      <c r="Z120" s="63"/>
      <c r="AA120" s="63"/>
      <c r="AB120" s="63"/>
      <c r="AC120" s="63"/>
      <c r="AD120" s="75">
        <f t="shared" ref="AD120:AD124" si="204">SUM(Z120:AC120)</f>
        <v>0</v>
      </c>
      <c r="AE120" s="194"/>
      <c r="AF120" s="63">
        <v>0</v>
      </c>
      <c r="AG120" s="63"/>
      <c r="AH120" s="63"/>
      <c r="AI120" s="63"/>
      <c r="AJ120" s="75">
        <f t="shared" ref="AJ120:AJ124" si="205">SUM(AF120:AI120)</f>
        <v>0</v>
      </c>
      <c r="AL120" s="63"/>
      <c r="AM120" s="63"/>
      <c r="AN120" s="63"/>
      <c r="AO120" s="63">
        <v>185000</v>
      </c>
      <c r="AP120" s="75">
        <f t="shared" ref="AP120:AP124" si="206">SUM(AL120:AO120)</f>
        <v>185000</v>
      </c>
      <c r="AR120" s="75">
        <f t="shared" ref="AR120:AR124" si="207">B120+H120+N120+T120+AL120+AF120+Z120</f>
        <v>241895</v>
      </c>
      <c r="AS120" s="75">
        <f t="shared" ref="AS120:AS124" si="208">C120+I120+O120+U120+AM120+AG120+AA120</f>
        <v>0</v>
      </c>
      <c r="AT120" s="75">
        <f t="shared" ref="AT120:AT124" si="209">D120+J120+P120+V120+AN120+AH120+AB120</f>
        <v>0</v>
      </c>
      <c r="AU120" s="75">
        <f t="shared" ref="AU120:AU124" si="210">E120+K120+Q120+W120+AO120+AI120+AC120</f>
        <v>185000</v>
      </c>
      <c r="AV120" s="75">
        <f t="shared" ref="AV120:AV124" si="211">SUM(AR120:AU120)</f>
        <v>426895</v>
      </c>
    </row>
    <row r="121" spans="1:48" x14ac:dyDescent="0.25">
      <c r="A121" s="21" t="s">
        <v>96</v>
      </c>
      <c r="B121" s="63">
        <f>68200*B36</f>
        <v>3069000</v>
      </c>
      <c r="C121" s="63"/>
      <c r="D121" s="63"/>
      <c r="E121" s="63"/>
      <c r="F121" s="75">
        <f t="shared" si="200"/>
        <v>3069000</v>
      </c>
      <c r="H121" s="63">
        <f>66725*H36</f>
        <v>3002625</v>
      </c>
      <c r="I121" s="63"/>
      <c r="J121" s="63"/>
      <c r="K121" s="63"/>
      <c r="L121" s="75">
        <f t="shared" si="201"/>
        <v>3002625</v>
      </c>
      <c r="N121" s="63">
        <f>66700*N36+8000</f>
        <v>6678000</v>
      </c>
      <c r="O121" s="63"/>
      <c r="P121" s="63"/>
      <c r="Q121" s="63"/>
      <c r="R121" s="75">
        <f t="shared" si="202"/>
        <v>6678000</v>
      </c>
      <c r="T121" s="63">
        <f>58250*T36</f>
        <v>1339750</v>
      </c>
      <c r="U121" s="63"/>
      <c r="V121" s="63"/>
      <c r="W121" s="63"/>
      <c r="X121" s="75">
        <f t="shared" si="203"/>
        <v>1339750</v>
      </c>
      <c r="Y121" s="194"/>
      <c r="Z121" s="63">
        <f>57000*Z36</f>
        <v>1054500</v>
      </c>
      <c r="AA121" s="63"/>
      <c r="AB121" s="63"/>
      <c r="AC121" s="63"/>
      <c r="AD121" s="75">
        <f t="shared" si="204"/>
        <v>1054500</v>
      </c>
      <c r="AE121" s="194"/>
      <c r="AF121" s="63">
        <f>56250*AF36</f>
        <v>0</v>
      </c>
      <c r="AG121" s="63"/>
      <c r="AH121" s="63"/>
      <c r="AI121" s="63"/>
      <c r="AJ121" s="75">
        <f t="shared" si="205"/>
        <v>0</v>
      </c>
      <c r="AL121" s="63"/>
      <c r="AM121" s="63"/>
      <c r="AN121" s="63"/>
      <c r="AO121" s="63"/>
      <c r="AP121" s="75">
        <f t="shared" si="206"/>
        <v>0</v>
      </c>
      <c r="AR121" s="75">
        <f t="shared" si="207"/>
        <v>15143875</v>
      </c>
      <c r="AS121" s="75">
        <f t="shared" si="208"/>
        <v>0</v>
      </c>
      <c r="AT121" s="75">
        <f t="shared" si="209"/>
        <v>0</v>
      </c>
      <c r="AU121" s="75">
        <f t="shared" si="210"/>
        <v>0</v>
      </c>
      <c r="AV121" s="75">
        <f t="shared" si="211"/>
        <v>15143875</v>
      </c>
    </row>
    <row r="122" spans="1:48" x14ac:dyDescent="0.25">
      <c r="A122" s="21" t="s">
        <v>24</v>
      </c>
      <c r="B122" s="63"/>
      <c r="C122" s="63">
        <f>68200*C28</f>
        <v>341000</v>
      </c>
      <c r="D122" s="63"/>
      <c r="E122" s="63"/>
      <c r="F122" s="75">
        <f t="shared" si="200"/>
        <v>341000</v>
      </c>
      <c r="H122" s="63"/>
      <c r="I122" s="63">
        <f>66725*I28</f>
        <v>266900</v>
      </c>
      <c r="J122" s="63"/>
      <c r="K122" s="63"/>
      <c r="L122" s="75">
        <f t="shared" si="201"/>
        <v>266900</v>
      </c>
      <c r="N122" s="63"/>
      <c r="O122" s="63">
        <f>66700*O28</f>
        <v>933800</v>
      </c>
      <c r="P122" s="63"/>
      <c r="Q122" s="63"/>
      <c r="R122" s="75">
        <f t="shared" si="202"/>
        <v>933800</v>
      </c>
      <c r="T122" s="63"/>
      <c r="U122" s="63">
        <f>60750*U28</f>
        <v>182250</v>
      </c>
      <c r="V122" s="63"/>
      <c r="W122" s="63"/>
      <c r="X122" s="75">
        <f t="shared" si="203"/>
        <v>182250</v>
      </c>
      <c r="Y122" s="194"/>
      <c r="Z122" s="63"/>
      <c r="AA122" s="63">
        <f>60000*AA28</f>
        <v>90000</v>
      </c>
      <c r="AB122" s="63"/>
      <c r="AC122" s="63"/>
      <c r="AD122" s="75">
        <f t="shared" si="204"/>
        <v>90000</v>
      </c>
      <c r="AE122" s="194"/>
      <c r="AF122" s="63"/>
      <c r="AG122" s="63">
        <f>60000*AG28</f>
        <v>0</v>
      </c>
      <c r="AH122" s="63"/>
      <c r="AI122" s="63"/>
      <c r="AJ122" s="75">
        <f t="shared" si="205"/>
        <v>0</v>
      </c>
      <c r="AL122" s="63"/>
      <c r="AM122" s="63"/>
      <c r="AN122" s="63"/>
      <c r="AO122" s="63"/>
      <c r="AP122" s="75">
        <f t="shared" si="206"/>
        <v>0</v>
      </c>
      <c r="AR122" s="75">
        <f t="shared" si="207"/>
        <v>0</v>
      </c>
      <c r="AS122" s="75">
        <f t="shared" si="208"/>
        <v>1813950</v>
      </c>
      <c r="AT122" s="75">
        <f t="shared" si="209"/>
        <v>0</v>
      </c>
      <c r="AU122" s="75">
        <f t="shared" si="210"/>
        <v>0</v>
      </c>
      <c r="AV122" s="75">
        <f t="shared" si="211"/>
        <v>1813950</v>
      </c>
    </row>
    <row r="123" spans="1:48" x14ac:dyDescent="0.25">
      <c r="A123" s="21" t="s">
        <v>97</v>
      </c>
      <c r="B123" s="63">
        <f>(21.25*8*180)*B50</f>
        <v>306000</v>
      </c>
      <c r="C123" s="63">
        <f>(21.25*8*180)*C50</f>
        <v>153000</v>
      </c>
      <c r="D123" s="63"/>
      <c r="E123" s="63">
        <f>(20.25*8*180)*E50</f>
        <v>0</v>
      </c>
      <c r="F123" s="75">
        <f t="shared" si="200"/>
        <v>459000</v>
      </c>
      <c r="H123" s="63">
        <f>(21.25*8*180)*H50</f>
        <v>306000</v>
      </c>
      <c r="I123" s="63">
        <f>(21.25*8*180)*I50</f>
        <v>168300</v>
      </c>
      <c r="J123" s="63"/>
      <c r="K123" s="63">
        <f>(20.25*8*180)*K50</f>
        <v>0</v>
      </c>
      <c r="L123" s="75">
        <f t="shared" si="201"/>
        <v>474300</v>
      </c>
      <c r="N123" s="63">
        <f>(21.25*8*180)*N50</f>
        <v>367200</v>
      </c>
      <c r="O123" s="63">
        <f>(21.25*8*180)*O50</f>
        <v>428400</v>
      </c>
      <c r="P123" s="63"/>
      <c r="Q123" s="63">
        <f>(20.25*8*180)*Q50</f>
        <v>0</v>
      </c>
      <c r="R123" s="75">
        <f t="shared" si="202"/>
        <v>795600</v>
      </c>
      <c r="T123" s="63">
        <f>20.25*8*185*T50</f>
        <v>104895</v>
      </c>
      <c r="U123" s="63">
        <f>20.25*8*185*U50</f>
        <v>89910</v>
      </c>
      <c r="V123" s="63">
        <f t="shared" ref="V123:W123" si="212">20*8*185*V50</f>
        <v>0</v>
      </c>
      <c r="W123" s="63">
        <f t="shared" si="212"/>
        <v>0</v>
      </c>
      <c r="X123" s="75">
        <f t="shared" si="203"/>
        <v>194805</v>
      </c>
      <c r="Y123" s="194"/>
      <c r="Z123" s="63">
        <f>21*8*185*Z50</f>
        <v>31080</v>
      </c>
      <c r="AA123" s="63">
        <f>21*8*185*AA50</f>
        <v>62160</v>
      </c>
      <c r="AB123" s="63">
        <f t="shared" ref="AB123:AC123" si="213">20*8*185*AB50</f>
        <v>0</v>
      </c>
      <c r="AC123" s="63">
        <f t="shared" si="213"/>
        <v>0</v>
      </c>
      <c r="AD123" s="75">
        <f t="shared" si="204"/>
        <v>93240</v>
      </c>
      <c r="AE123" s="194"/>
      <c r="AF123" s="63">
        <f>20.25*8*185*AF50</f>
        <v>0</v>
      </c>
      <c r="AG123" s="63">
        <f>20.25*8*185*AG50</f>
        <v>0</v>
      </c>
      <c r="AH123" s="63">
        <v>0</v>
      </c>
      <c r="AI123" s="63">
        <f t="shared" ref="AI123" si="214">20*8*185*AI50</f>
        <v>0</v>
      </c>
      <c r="AJ123" s="75">
        <f t="shared" si="205"/>
        <v>0</v>
      </c>
      <c r="AL123" s="63">
        <f>(45000+(20*8*220))*1.01</f>
        <v>81002</v>
      </c>
      <c r="AM123" s="63"/>
      <c r="AN123" s="63"/>
      <c r="AO123" s="63">
        <v>600000</v>
      </c>
      <c r="AP123" s="75">
        <f t="shared" si="206"/>
        <v>681002</v>
      </c>
      <c r="AR123" s="75">
        <f t="shared" si="207"/>
        <v>1196177</v>
      </c>
      <c r="AS123" s="75">
        <f t="shared" si="208"/>
        <v>901770</v>
      </c>
      <c r="AT123" s="75">
        <f t="shared" si="209"/>
        <v>0</v>
      </c>
      <c r="AU123" s="75">
        <f t="shared" si="210"/>
        <v>600000</v>
      </c>
      <c r="AV123" s="75">
        <f t="shared" si="211"/>
        <v>2697947</v>
      </c>
    </row>
    <row r="124" spans="1:48" x14ac:dyDescent="0.25">
      <c r="A124" s="22" t="s">
        <v>54</v>
      </c>
      <c r="B124" s="64">
        <f>180*180*B59</f>
        <v>64800</v>
      </c>
      <c r="C124" s="64"/>
      <c r="D124" s="64"/>
      <c r="E124" s="64"/>
      <c r="F124" s="75">
        <f t="shared" si="200"/>
        <v>64800</v>
      </c>
      <c r="H124" s="64">
        <f>180*180*H59</f>
        <v>32400</v>
      </c>
      <c r="I124" s="64"/>
      <c r="J124" s="64"/>
      <c r="K124" s="64"/>
      <c r="L124" s="75">
        <f t="shared" si="201"/>
        <v>32400</v>
      </c>
      <c r="N124" s="64">
        <f>180*180*N59</f>
        <v>97200</v>
      </c>
      <c r="O124" s="64"/>
      <c r="P124" s="64"/>
      <c r="Q124" s="64"/>
      <c r="R124" s="75">
        <f t="shared" si="202"/>
        <v>97200</v>
      </c>
      <c r="T124" s="64">
        <f>175*180*T59</f>
        <v>0</v>
      </c>
      <c r="U124" s="64"/>
      <c r="V124" s="64"/>
      <c r="W124" s="64"/>
      <c r="X124" s="75">
        <f t="shared" si="203"/>
        <v>0</v>
      </c>
      <c r="Y124" s="194"/>
      <c r="Z124" s="64">
        <f>175*180*Z59</f>
        <v>0</v>
      </c>
      <c r="AA124" s="64"/>
      <c r="AB124" s="64"/>
      <c r="AC124" s="64"/>
      <c r="AD124" s="75">
        <f t="shared" si="204"/>
        <v>0</v>
      </c>
      <c r="AE124" s="194"/>
      <c r="AF124" s="64">
        <f>175*180*AF59</f>
        <v>0</v>
      </c>
      <c r="AG124" s="64"/>
      <c r="AH124" s="64"/>
      <c r="AI124" s="64"/>
      <c r="AJ124" s="75">
        <f t="shared" si="205"/>
        <v>0</v>
      </c>
      <c r="AL124" s="64"/>
      <c r="AM124" s="64"/>
      <c r="AN124" s="64"/>
      <c r="AO124" s="64"/>
      <c r="AP124" s="75">
        <f t="shared" si="206"/>
        <v>0</v>
      </c>
      <c r="AR124" s="75">
        <f t="shared" si="207"/>
        <v>194400</v>
      </c>
      <c r="AS124" s="75">
        <f t="shared" si="208"/>
        <v>0</v>
      </c>
      <c r="AT124" s="75">
        <f t="shared" si="209"/>
        <v>0</v>
      </c>
      <c r="AU124" s="75">
        <f t="shared" si="210"/>
        <v>0</v>
      </c>
      <c r="AV124" s="75">
        <f t="shared" si="211"/>
        <v>194400</v>
      </c>
    </row>
    <row r="125" spans="1:48" x14ac:dyDescent="0.25">
      <c r="A125" s="29"/>
      <c r="B125" s="76">
        <f t="shared" ref="B125:E125" si="215">SUM(B119:B124)</f>
        <v>3681695</v>
      </c>
      <c r="C125" s="76">
        <f t="shared" si="215"/>
        <v>494000</v>
      </c>
      <c r="D125" s="76">
        <f t="shared" si="215"/>
        <v>0</v>
      </c>
      <c r="E125" s="76">
        <f t="shared" si="215"/>
        <v>0</v>
      </c>
      <c r="F125" s="76">
        <f t="shared" ref="F125" si="216">SUM(F119:F124)</f>
        <v>4175695</v>
      </c>
      <c r="H125" s="76">
        <f t="shared" ref="H125:L125" si="217">SUM(H119:H124)</f>
        <v>3521057.5</v>
      </c>
      <c r="I125" s="76">
        <f t="shared" si="217"/>
        <v>435200</v>
      </c>
      <c r="J125" s="76">
        <f t="shared" si="217"/>
        <v>0</v>
      </c>
      <c r="K125" s="76">
        <f t="shared" si="217"/>
        <v>0</v>
      </c>
      <c r="L125" s="76">
        <f t="shared" si="217"/>
        <v>3956257.5</v>
      </c>
      <c r="N125" s="76">
        <f t="shared" ref="N125:R125" si="218">SUM(N119:N124)</f>
        <v>7540895.5</v>
      </c>
      <c r="O125" s="76">
        <f t="shared" si="218"/>
        <v>1362200</v>
      </c>
      <c r="P125" s="76">
        <f t="shared" si="218"/>
        <v>0</v>
      </c>
      <c r="Q125" s="76">
        <f t="shared" si="218"/>
        <v>0</v>
      </c>
      <c r="R125" s="76">
        <f t="shared" si="218"/>
        <v>8903095.5</v>
      </c>
      <c r="T125" s="76">
        <f t="shared" ref="T125:W125" si="219">SUM(T119:T124)</f>
        <v>1525445</v>
      </c>
      <c r="U125" s="76">
        <f t="shared" si="219"/>
        <v>272160</v>
      </c>
      <c r="V125" s="76">
        <f t="shared" si="219"/>
        <v>0</v>
      </c>
      <c r="W125" s="76">
        <f t="shared" si="219"/>
        <v>0</v>
      </c>
      <c r="X125" s="76">
        <f t="shared" ref="X125" si="220">SUM(X119:X124)</f>
        <v>1797605</v>
      </c>
      <c r="Y125" s="199"/>
      <c r="Z125" s="76">
        <f t="shared" ref="Z125:AD125" si="221">SUM(Z119:Z124)</f>
        <v>1165580</v>
      </c>
      <c r="AA125" s="76">
        <f t="shared" si="221"/>
        <v>152160</v>
      </c>
      <c r="AB125" s="76">
        <f t="shared" si="221"/>
        <v>0</v>
      </c>
      <c r="AC125" s="76">
        <f t="shared" si="221"/>
        <v>0</v>
      </c>
      <c r="AD125" s="76">
        <f t="shared" si="221"/>
        <v>1317740</v>
      </c>
      <c r="AE125" s="199"/>
      <c r="AF125" s="76">
        <f t="shared" ref="AF125:AJ125" si="222">SUM(AF119:AF124)</f>
        <v>0</v>
      </c>
      <c r="AG125" s="76">
        <f t="shared" si="222"/>
        <v>0</v>
      </c>
      <c r="AH125" s="76">
        <f t="shared" si="222"/>
        <v>0</v>
      </c>
      <c r="AI125" s="76">
        <f t="shared" si="222"/>
        <v>0</v>
      </c>
      <c r="AJ125" s="76">
        <f t="shared" si="222"/>
        <v>0</v>
      </c>
      <c r="AL125" s="76">
        <f t="shared" ref="AL125:AN125" si="223">SUM(AL119:AL124)</f>
        <v>81002</v>
      </c>
      <c r="AM125" s="76">
        <f t="shared" si="223"/>
        <v>0</v>
      </c>
      <c r="AN125" s="76">
        <f t="shared" si="223"/>
        <v>0</v>
      </c>
      <c r="AO125" s="76">
        <f t="shared" ref="AO125" si="224">SUM(AO119:AO124)</f>
        <v>1085000</v>
      </c>
      <c r="AP125" s="76">
        <f t="shared" ref="AP125" si="225">SUM(AP119:AP124)</f>
        <v>1166002</v>
      </c>
      <c r="AR125" s="76">
        <f t="shared" ref="AR125:AV125" si="226">SUM(AR119:AR124)</f>
        <v>17515675</v>
      </c>
      <c r="AS125" s="76">
        <f t="shared" si="226"/>
        <v>2715720</v>
      </c>
      <c r="AT125" s="76">
        <f t="shared" si="226"/>
        <v>0</v>
      </c>
      <c r="AU125" s="76">
        <f t="shared" si="226"/>
        <v>1085000</v>
      </c>
      <c r="AV125" s="76">
        <f t="shared" si="226"/>
        <v>21316395</v>
      </c>
    </row>
    <row r="126" spans="1:48" x14ac:dyDescent="0.25">
      <c r="A126" s="20" t="s">
        <v>237</v>
      </c>
      <c r="B126" s="75">
        <f>B125*0.3725</f>
        <v>1371431.3875</v>
      </c>
      <c r="C126" s="75">
        <f t="shared" ref="C126:E126" si="227">C125*0.3725</f>
        <v>184015</v>
      </c>
      <c r="D126" s="75">
        <f t="shared" si="227"/>
        <v>0</v>
      </c>
      <c r="E126" s="75">
        <f t="shared" si="227"/>
        <v>0</v>
      </c>
      <c r="F126" s="75">
        <f>SUM(B126:E126)</f>
        <v>1555446.3875</v>
      </c>
      <c r="H126" s="75">
        <f>H125*0.3725</f>
        <v>1311593.91875</v>
      </c>
      <c r="I126" s="75">
        <f t="shared" ref="I126" si="228">I125*0.3725</f>
        <v>162112</v>
      </c>
      <c r="J126" s="75">
        <f t="shared" ref="J126" si="229">J125*0.3725</f>
        <v>0</v>
      </c>
      <c r="K126" s="75">
        <f t="shared" ref="K126" si="230">K125*0.3725</f>
        <v>0</v>
      </c>
      <c r="L126" s="75">
        <f>SUM(H126:K126)</f>
        <v>1473705.91875</v>
      </c>
      <c r="N126" s="75">
        <f>N125*0.3725</f>
        <v>2808983.57375</v>
      </c>
      <c r="O126" s="75">
        <f t="shared" ref="O126" si="231">O125*0.3725</f>
        <v>507419.5</v>
      </c>
      <c r="P126" s="75">
        <f t="shared" ref="P126" si="232">P125*0.3725</f>
        <v>0</v>
      </c>
      <c r="Q126" s="75">
        <f t="shared" ref="Q126" si="233">Q125*0.3675</f>
        <v>0</v>
      </c>
      <c r="R126" s="75">
        <f>SUM(N126:Q126)</f>
        <v>3316403.07375</v>
      </c>
      <c r="T126" s="75">
        <f>T125*0.3725</f>
        <v>568228.26249999995</v>
      </c>
      <c r="U126" s="75">
        <f t="shared" ref="U126:W126" si="234">U125*0.3725</f>
        <v>101379.6</v>
      </c>
      <c r="V126" s="75">
        <f t="shared" si="234"/>
        <v>0</v>
      </c>
      <c r="W126" s="75">
        <f t="shared" si="234"/>
        <v>0</v>
      </c>
      <c r="X126" s="75">
        <f>SUM(T126:W126)</f>
        <v>669607.86249999993</v>
      </c>
      <c r="Y126" s="194"/>
      <c r="Z126" s="75">
        <f>Z125*0.3725</f>
        <v>434178.55</v>
      </c>
      <c r="AA126" s="75">
        <f t="shared" ref="AA126:AC126" si="235">AA125*0.3725</f>
        <v>56679.6</v>
      </c>
      <c r="AB126" s="75">
        <f t="shared" si="235"/>
        <v>0</v>
      </c>
      <c r="AC126" s="75">
        <f t="shared" si="235"/>
        <v>0</v>
      </c>
      <c r="AD126" s="75">
        <f>SUM(Z126:AC126)</f>
        <v>490858.14999999997</v>
      </c>
      <c r="AE126" s="194"/>
      <c r="AF126" s="75">
        <f>AF125*0.3725</f>
        <v>0</v>
      </c>
      <c r="AG126" s="75">
        <f t="shared" ref="AG126:AI126" si="236">AG125*0.3725</f>
        <v>0</v>
      </c>
      <c r="AH126" s="75">
        <f t="shared" si="236"/>
        <v>0</v>
      </c>
      <c r="AI126" s="75">
        <f t="shared" si="236"/>
        <v>0</v>
      </c>
      <c r="AJ126" s="75">
        <f>SUM(AF126:AI126)</f>
        <v>0</v>
      </c>
      <c r="AL126" s="75">
        <f>AL125*0.3725</f>
        <v>30173.244999999999</v>
      </c>
      <c r="AM126" s="75">
        <f t="shared" ref="AM126:AN126" si="237">AM125*0.3725</f>
        <v>0</v>
      </c>
      <c r="AN126" s="75">
        <f t="shared" si="237"/>
        <v>0</v>
      </c>
      <c r="AO126" s="75">
        <f t="shared" ref="AO126" si="238">AO125*0.3675</f>
        <v>398737.5</v>
      </c>
      <c r="AP126" s="75">
        <f>SUM(AL126:AO126)</f>
        <v>428910.745</v>
      </c>
      <c r="AR126" s="75">
        <f>B126+H126+N126+T126+AL126+AF126+Z126</f>
        <v>6524588.9375</v>
      </c>
      <c r="AS126" s="75">
        <f t="shared" ref="AS126:AU126" si="239">C126+I126+O126+U126+AM126+AG126+AA126</f>
        <v>1011605.7</v>
      </c>
      <c r="AT126" s="75">
        <f t="shared" si="239"/>
        <v>0</v>
      </c>
      <c r="AU126" s="75">
        <f t="shared" si="239"/>
        <v>398737.5</v>
      </c>
      <c r="AV126" s="75">
        <f>SUM(AR126:AU126)</f>
        <v>7934932.1375000002</v>
      </c>
    </row>
    <row r="127" spans="1:48" x14ac:dyDescent="0.25">
      <c r="A127" s="21" t="s">
        <v>90</v>
      </c>
      <c r="B127" s="61">
        <f>(((8975*(B63*0.9))+((200*(B63*0.875))+((80*(B63*0.85))+(B65*10)+(B125*0.015)+(B125*0.03)))))-2500</f>
        <v>646560.27500000002</v>
      </c>
      <c r="C127" s="61">
        <f>(((8975*(C63*0.875))+((200*(C63*0.875))+((80*(C63*0.85))+(C65*10)+(C125*0.015)+(C125*0.03)))))</f>
        <v>103316.25</v>
      </c>
      <c r="D127" s="61">
        <f>(((8975*(D63*0.85))+((200*(D63*0.85))+((80*(D63*0.85))+(D63*10)+(D125*0.015)+(D125*0.03)))))</f>
        <v>0</v>
      </c>
      <c r="E127" s="61">
        <f t="shared" ref="E127" si="240">(((8150*(E63*0.85))+((185*(E63*0.85))+((75*(E63*0.85))+(E65*7)+(E125*0.015)+(E125*0.03)))))</f>
        <v>0</v>
      </c>
      <c r="F127" s="75">
        <f t="shared" ref="F127:F131" si="241">SUM(B127:E127)</f>
        <v>749876.52500000002</v>
      </c>
      <c r="H127" s="61">
        <f>(((8975*(H63*0.9))+((200*(H63*0.875))+((80*(H63*0.85))+(H65*10)+(H125*0.015)+(H125*0.03)))))-2500</f>
        <v>635141.33750000002</v>
      </c>
      <c r="I127" s="61">
        <f>(((8975*(I63*0.875))+((200*(I63*0.875))+((80*(I63*0.85))+(I65*10)+(I125*0.015)+(I125*0.03)))))</f>
        <v>96617.1875</v>
      </c>
      <c r="J127" s="61">
        <f>(((8975*(J63*0.85))+((200*(J63*0.85))+((80*(J63*0.85))+(J63*10)+(J125*0.015)+(J125*0.03)))))</f>
        <v>0</v>
      </c>
      <c r="K127" s="61">
        <f t="shared" ref="K127" si="242">(((8150*(K63*0.85))+((185*(K63*0.85))+((75*(K63*0.85))+(K65*7)+(K125*0.015)+(K125*0.03)))))</f>
        <v>0</v>
      </c>
      <c r="L127" s="75">
        <f t="shared" ref="L127:L131" si="243">SUM(H127:K127)</f>
        <v>731758.52500000002</v>
      </c>
      <c r="N127" s="61">
        <f>(((8975*(N63*0.9))+((200*(N63*0.875))+((80*(N63*0.85))+(N65*10)+(N125*0.015)+(N125*0.03)))))-2500</f>
        <v>1311908.7974999999</v>
      </c>
      <c r="O127" s="61">
        <f>(((8975*(O63*0.875))+((200*(O63*0.875))+((80*(O63*0.85))+(O65*10)+(O125*0.015)+(O125*0.03)))))</f>
        <v>288300.5</v>
      </c>
      <c r="P127" s="61">
        <f>(((8975*(P63*0.85))+((200*(P63*0.85))+((80*(P63*0.85))+(P63*10)+(P125*0.015)+(P125*0.03)))))</f>
        <v>0</v>
      </c>
      <c r="Q127" s="61">
        <f t="shared" ref="Q127" si="244">(((8150*(Q63*0.85))+((185*(Q63*0.85))+((75*(Q63*0.85))+(Q65*7)+(Q125*0.015)+(Q125*0.03)))))</f>
        <v>0</v>
      </c>
      <c r="R127" s="75">
        <f t="shared" ref="R127:R131" si="245">SUM(N127:Q127)</f>
        <v>1600209.2974999999</v>
      </c>
      <c r="T127" s="61">
        <f>(((8975*(T63*0.85))+((200*(T63*0.85))+((80*(T63*0.85))+(T65*10)+(T125*0.015)+(T125*0.03)))))</f>
        <v>285295.65000000002</v>
      </c>
      <c r="U127" s="61">
        <f t="shared" ref="U127:W127" si="246">(((8975*(U63*0.85))+((200*(U63*0.85))+((80*(U63*0.85))+(U65*10)+(U125*0.015)+(U125*0.03)))))</f>
        <v>59507.7</v>
      </c>
      <c r="V127" s="61">
        <f t="shared" si="246"/>
        <v>0</v>
      </c>
      <c r="W127" s="61">
        <f t="shared" si="246"/>
        <v>0</v>
      </c>
      <c r="X127" s="75">
        <f t="shared" ref="X127:X131" si="247">SUM(T127:W127)</f>
        <v>344803.35000000003</v>
      </c>
      <c r="Y127" s="194"/>
      <c r="Z127" s="61">
        <f>(((8975*(Z63*0.85))+((200*(Z63*0.85))+((80*(Z63*0.85))+(Z65*10)+(Z125*0.015)+(Z125*0.03)))))</f>
        <v>213974.47500000001</v>
      </c>
      <c r="AA127" s="61">
        <f t="shared" ref="AA127:AC127" si="248">(((8975*(AA63*0.85))+((200*(AA63*0.85))+((80*(AA63*0.85))+(AA65*10)+(AA125*0.015)+(AA125*0.03)))))</f>
        <v>34415.824999999997</v>
      </c>
      <c r="AB127" s="61">
        <f t="shared" si="248"/>
        <v>10</v>
      </c>
      <c r="AC127" s="61">
        <f t="shared" si="248"/>
        <v>0</v>
      </c>
      <c r="AD127" s="75">
        <f t="shared" ref="AD127:AD131" si="249">SUM(Z127:AC127)</f>
        <v>248400.3</v>
      </c>
      <c r="AE127" s="194"/>
      <c r="AF127" s="61">
        <f>(((8975*(AF63*0.85))+((200*(AF63*0.85))+((80*(AF63*0.85))+(AF65*10)+(AF125*0.015)+(AF125*0.03)))))</f>
        <v>0</v>
      </c>
      <c r="AG127" s="61">
        <f t="shared" ref="AG127:AI127" si="250">(((8975*(AG63*0.85))+((200*(AG63*0.85))+((80*(AG63*0.85))+(AG65*10)+(AG125*0.015)+(AG125*0.03)))))</f>
        <v>0</v>
      </c>
      <c r="AH127" s="61">
        <f t="shared" si="250"/>
        <v>0</v>
      </c>
      <c r="AI127" s="61">
        <f t="shared" si="250"/>
        <v>0</v>
      </c>
      <c r="AJ127" s="75">
        <f t="shared" ref="AJ127:AJ131" si="251">SUM(AF127:AI127)</f>
        <v>0</v>
      </c>
      <c r="AL127" s="63">
        <f>AL125*0.17</f>
        <v>13770.34</v>
      </c>
      <c r="AM127" s="63">
        <f t="shared" ref="AM127:AN127" si="252">AM125*0.16</f>
        <v>0</v>
      </c>
      <c r="AN127" s="63">
        <f t="shared" si="252"/>
        <v>0</v>
      </c>
      <c r="AO127" s="63">
        <f>AO125*0.15</f>
        <v>162750</v>
      </c>
      <c r="AP127" s="75">
        <f t="shared" ref="AP127:AP131" si="253">SUM(AL127:AO127)</f>
        <v>176520.34</v>
      </c>
      <c r="AR127" s="75">
        <f t="shared" ref="AR127:AR131" si="254">B127+H127+N127+T127+AL127+AF127+Z127</f>
        <v>3106650.875</v>
      </c>
      <c r="AS127" s="75">
        <f t="shared" ref="AS127:AS131" si="255">C127+I127+O127+U127+AM127+AG127+AA127</f>
        <v>582157.46249999991</v>
      </c>
      <c r="AT127" s="75">
        <f t="shared" ref="AT127:AT131" si="256">D127+J127+P127+V127+AN127+AH127+AB127</f>
        <v>10</v>
      </c>
      <c r="AU127" s="75">
        <f t="shared" ref="AU127:AU131" si="257">E127+K127+Q127+W127+AO127+AI127+AC127</f>
        <v>162750</v>
      </c>
      <c r="AV127" s="75">
        <f t="shared" ref="AV127:AV131" si="258">SUM(AR127:AU127)</f>
        <v>3851568.3374999999</v>
      </c>
    </row>
    <row r="128" spans="1:48" x14ac:dyDescent="0.25">
      <c r="A128" s="21" t="s">
        <v>91</v>
      </c>
      <c r="B128" s="61">
        <f>((1250*B36)+((1500*(B41+B43))+(500*B50)+(1250*B59)))+(1000*8)</f>
        <v>76250</v>
      </c>
      <c r="C128" s="61">
        <f t="shared" ref="C128" si="259">((1250*C36)+((1500*(C41+C43))+(500*C50)+(1250*C59)))+(1000*5)</f>
        <v>13750</v>
      </c>
      <c r="D128" s="61">
        <f>((1250*D36)+((1500*(D41+D43))+(500*D50)+(1250*D59)))</f>
        <v>0</v>
      </c>
      <c r="E128" s="61">
        <f>((1250*E36)+((1500*(E41+E43))+(500*E50)+(1250*E59)))</f>
        <v>0</v>
      </c>
      <c r="F128" s="75">
        <f t="shared" si="241"/>
        <v>90000</v>
      </c>
      <c r="H128" s="61">
        <f>((1250*H36)+((1500*(H41+H43))+(500*H50)+(1250*H59)))+(1000*8)</f>
        <v>74250</v>
      </c>
      <c r="I128" s="61">
        <f t="shared" ref="I128" si="260">((1250*I36)+((1500*(I41+I43))+(500*I50)+(1250*I59)))+(1000*5)</f>
        <v>12750</v>
      </c>
      <c r="J128" s="61">
        <f>((1250*J36)+((1500*(J41+J43))+(500*J50)+(1250*J59)))</f>
        <v>0</v>
      </c>
      <c r="K128" s="61">
        <f>((1250*K36)+((1500*(K41+K43))+(500*K50)+(1250*K59)))</f>
        <v>0</v>
      </c>
      <c r="L128" s="75">
        <f t="shared" si="243"/>
        <v>87000</v>
      </c>
      <c r="N128" s="61">
        <f>((1250*N36)+((1500*(N41+N43))+(500*N50)+(1250*N59)))+(1000*8)</f>
        <v>150250</v>
      </c>
      <c r="O128" s="61">
        <f t="shared" ref="O128" si="261">((1250*O36)+((1500*(O41+O43))+(500*O50)+(1250*O59)))+(1000*5)</f>
        <v>29500</v>
      </c>
      <c r="P128" s="61">
        <f>((1250*P36)+((1500*(P41+P43))+(500*P50)+(1250*P59)))</f>
        <v>0</v>
      </c>
      <c r="Q128" s="61">
        <f>((1250*Q36)+((1500*(Q41+Q43))+(500*Q50)+(1250*Q59)))</f>
        <v>0</v>
      </c>
      <c r="R128" s="75">
        <f t="shared" si="245"/>
        <v>179750</v>
      </c>
      <c r="T128" s="61">
        <f>((1250*T36)+((1500*(T41+T43))+(500*T50)+(1250*T59)))+(1000*2)</f>
        <v>34000</v>
      </c>
      <c r="U128" s="61">
        <f>((1250*U36)+((1500*(U41+U43))+(500*U50)+(1250*U59)))+(1000*1)</f>
        <v>6250</v>
      </c>
      <c r="V128" s="61">
        <v>0</v>
      </c>
      <c r="W128" s="61">
        <v>0</v>
      </c>
      <c r="X128" s="75">
        <f t="shared" si="247"/>
        <v>40250</v>
      </c>
      <c r="Y128" s="194"/>
      <c r="Z128" s="61">
        <f>(((1250*Z36)+((1500*(Z41+Z43))+(500*Z50)+(1250*Z59)))+(1000*2))*0.35</f>
        <v>9493.75</v>
      </c>
      <c r="AA128" s="61">
        <f>(((1250*AA36)+((1500*(AA41+AA43))+(500*AA50)+(1250*AA59)))+(1000*1))*0.35</f>
        <v>1356.25</v>
      </c>
      <c r="AB128" s="61">
        <v>0</v>
      </c>
      <c r="AC128" s="61">
        <v>0</v>
      </c>
      <c r="AD128" s="75">
        <f t="shared" si="249"/>
        <v>10850</v>
      </c>
      <c r="AE128" s="194"/>
      <c r="AF128" s="61">
        <v>0</v>
      </c>
      <c r="AG128" s="61">
        <v>0</v>
      </c>
      <c r="AH128" s="61">
        <v>0</v>
      </c>
      <c r="AI128" s="61">
        <v>0</v>
      </c>
      <c r="AJ128" s="75">
        <f t="shared" si="251"/>
        <v>0</v>
      </c>
      <c r="AL128" s="61">
        <f>((1250*AL36)+((1500*(AL41+AL43))+(500*AL50)+(1250*AL59)))</f>
        <v>1000</v>
      </c>
      <c r="AM128" s="61">
        <f>((1250*AM36)+((1500*(AM41+AM43))+(500*AM50)+(1250*AM59)))</f>
        <v>0</v>
      </c>
      <c r="AN128" s="61">
        <f>((1250*AN36)+((1500*(AN41+AN43))+(500*AN50)+(1250*AN59)))</f>
        <v>0</v>
      </c>
      <c r="AO128" s="61">
        <f>((1250*AO36)+((1500*(AO41+AO43))+(500*AO50)+(1250*AO59)))</f>
        <v>17500</v>
      </c>
      <c r="AP128" s="75">
        <f t="shared" si="253"/>
        <v>18500</v>
      </c>
      <c r="AR128" s="75">
        <f t="shared" si="254"/>
        <v>345243.75</v>
      </c>
      <c r="AS128" s="75">
        <f t="shared" si="255"/>
        <v>63606.25</v>
      </c>
      <c r="AT128" s="75">
        <f t="shared" si="256"/>
        <v>0</v>
      </c>
      <c r="AU128" s="75">
        <f t="shared" si="257"/>
        <v>17500</v>
      </c>
      <c r="AV128" s="75">
        <f t="shared" si="258"/>
        <v>426350</v>
      </c>
    </row>
    <row r="129" spans="1:48" x14ac:dyDescent="0.25">
      <c r="A129" s="21" t="s">
        <v>92</v>
      </c>
      <c r="B129" s="61">
        <f>250*B63</f>
        <v>14500</v>
      </c>
      <c r="C129" s="61">
        <f t="shared" ref="C129:D129" si="262">250*C63</f>
        <v>2500</v>
      </c>
      <c r="D129" s="61">
        <f t="shared" si="262"/>
        <v>0</v>
      </c>
      <c r="E129" s="61">
        <f>250*E63</f>
        <v>0</v>
      </c>
      <c r="F129" s="75">
        <f t="shared" si="241"/>
        <v>17000</v>
      </c>
      <c r="H129" s="61">
        <f>250*H63</f>
        <v>14375</v>
      </c>
      <c r="I129" s="61">
        <f t="shared" ref="I129:J129" si="263">250*I63</f>
        <v>2375</v>
      </c>
      <c r="J129" s="61">
        <f t="shared" si="263"/>
        <v>0</v>
      </c>
      <c r="K129" s="61">
        <f>250*K63</f>
        <v>0</v>
      </c>
      <c r="L129" s="75">
        <f t="shared" si="243"/>
        <v>16750</v>
      </c>
      <c r="N129" s="61">
        <f>250*N63</f>
        <v>29250</v>
      </c>
      <c r="O129" s="61">
        <f t="shared" ref="O129:P129" si="264">250*O63</f>
        <v>7000</v>
      </c>
      <c r="P129" s="61">
        <f t="shared" si="264"/>
        <v>0</v>
      </c>
      <c r="Q129" s="61">
        <f>250*Q63</f>
        <v>0</v>
      </c>
      <c r="R129" s="75">
        <f t="shared" si="245"/>
        <v>36250</v>
      </c>
      <c r="T129" s="61">
        <f>250*T63</f>
        <v>6875</v>
      </c>
      <c r="U129" s="61">
        <f t="shared" ref="U129:V129" si="265">250*U63</f>
        <v>1500</v>
      </c>
      <c r="V129" s="61">
        <f t="shared" si="265"/>
        <v>0</v>
      </c>
      <c r="W129" s="61">
        <f>250*W63</f>
        <v>0</v>
      </c>
      <c r="X129" s="75">
        <f t="shared" si="247"/>
        <v>8375</v>
      </c>
      <c r="Y129" s="194"/>
      <c r="Z129" s="61">
        <f>250*Z63</f>
        <v>5125</v>
      </c>
      <c r="AA129" s="61">
        <f t="shared" ref="AA129:AB129" si="266">250*AA63</f>
        <v>875</v>
      </c>
      <c r="AB129" s="61">
        <f t="shared" si="266"/>
        <v>0</v>
      </c>
      <c r="AC129" s="61">
        <f>250*AC63</f>
        <v>0</v>
      </c>
      <c r="AD129" s="75">
        <f t="shared" si="249"/>
        <v>6000</v>
      </c>
      <c r="AE129" s="194"/>
      <c r="AF129" s="61">
        <f>250*AF63</f>
        <v>0</v>
      </c>
      <c r="AG129" s="61">
        <f t="shared" ref="AG129:AH129" si="267">250*AG63</f>
        <v>0</v>
      </c>
      <c r="AH129" s="61">
        <f t="shared" si="267"/>
        <v>0</v>
      </c>
      <c r="AI129" s="61">
        <f>250*AI63</f>
        <v>0</v>
      </c>
      <c r="AJ129" s="75">
        <f t="shared" si="251"/>
        <v>0</v>
      </c>
      <c r="AL129" s="61">
        <f>250*AL63</f>
        <v>500</v>
      </c>
      <c r="AM129" s="61">
        <f t="shared" ref="AM129:AN129" si="268">250*AM63</f>
        <v>0</v>
      </c>
      <c r="AN129" s="61">
        <f t="shared" si="268"/>
        <v>0</v>
      </c>
      <c r="AO129" s="61">
        <f>250*AO63</f>
        <v>6250</v>
      </c>
      <c r="AP129" s="75">
        <f t="shared" si="253"/>
        <v>6750</v>
      </c>
      <c r="AR129" s="75">
        <f t="shared" si="254"/>
        <v>70625</v>
      </c>
      <c r="AS129" s="75">
        <f t="shared" si="255"/>
        <v>14250</v>
      </c>
      <c r="AT129" s="75">
        <f t="shared" si="256"/>
        <v>0</v>
      </c>
      <c r="AU129" s="75">
        <f t="shared" si="257"/>
        <v>6250</v>
      </c>
      <c r="AV129" s="75">
        <f t="shared" si="258"/>
        <v>91125</v>
      </c>
    </row>
    <row r="130" spans="1:48" x14ac:dyDescent="0.25">
      <c r="A130" s="21" t="s">
        <v>98</v>
      </c>
      <c r="B130" s="63">
        <v>125000</v>
      </c>
      <c r="C130" s="63"/>
      <c r="D130" s="63"/>
      <c r="E130" s="63"/>
      <c r="F130" s="75">
        <f t="shared" si="241"/>
        <v>125000</v>
      </c>
      <c r="H130" s="63">
        <v>50000</v>
      </c>
      <c r="I130" s="63"/>
      <c r="J130" s="63"/>
      <c r="K130" s="63"/>
      <c r="L130" s="75">
        <f t="shared" si="243"/>
        <v>50000</v>
      </c>
      <c r="N130" s="63">
        <v>20000</v>
      </c>
      <c r="O130" s="63"/>
      <c r="P130" s="63"/>
      <c r="Q130" s="63"/>
      <c r="R130" s="75">
        <f t="shared" si="245"/>
        <v>20000</v>
      </c>
      <c r="T130" s="63">
        <v>0</v>
      </c>
      <c r="U130" s="63"/>
      <c r="V130" s="63"/>
      <c r="W130" s="63"/>
      <c r="X130" s="75">
        <f t="shared" si="247"/>
        <v>0</v>
      </c>
      <c r="Y130" s="194"/>
      <c r="Z130" s="63">
        <v>0</v>
      </c>
      <c r="AA130" s="63"/>
      <c r="AB130" s="63"/>
      <c r="AC130" s="63"/>
      <c r="AD130" s="75">
        <f t="shared" si="249"/>
        <v>0</v>
      </c>
      <c r="AE130" s="194"/>
      <c r="AF130" s="63">
        <v>0</v>
      </c>
      <c r="AG130" s="63"/>
      <c r="AH130" s="63"/>
      <c r="AI130" s="63"/>
      <c r="AJ130" s="75">
        <f t="shared" si="251"/>
        <v>0</v>
      </c>
      <c r="AL130" s="63"/>
      <c r="AM130" s="63"/>
      <c r="AN130" s="63"/>
      <c r="AO130" s="63"/>
      <c r="AP130" s="75">
        <f t="shared" si="253"/>
        <v>0</v>
      </c>
      <c r="AR130" s="75">
        <f t="shared" si="254"/>
        <v>195000</v>
      </c>
      <c r="AS130" s="75">
        <f t="shared" si="255"/>
        <v>0</v>
      </c>
      <c r="AT130" s="75">
        <f t="shared" si="256"/>
        <v>0</v>
      </c>
      <c r="AU130" s="75">
        <f t="shared" si="257"/>
        <v>0</v>
      </c>
      <c r="AV130" s="75">
        <f t="shared" si="258"/>
        <v>195000</v>
      </c>
    </row>
    <row r="131" spans="1:48" x14ac:dyDescent="0.25">
      <c r="A131" s="22" t="s">
        <v>94</v>
      </c>
      <c r="B131" s="64">
        <v>8500</v>
      </c>
      <c r="C131" s="64"/>
      <c r="D131" s="64"/>
      <c r="E131" s="64"/>
      <c r="F131" s="75">
        <f t="shared" si="241"/>
        <v>8500</v>
      </c>
      <c r="H131" s="64">
        <v>8500</v>
      </c>
      <c r="I131" s="64"/>
      <c r="J131" s="64"/>
      <c r="K131" s="64"/>
      <c r="L131" s="75">
        <f t="shared" si="243"/>
        <v>8500</v>
      </c>
      <c r="N131" s="64">
        <v>25000</v>
      </c>
      <c r="O131" s="64"/>
      <c r="P131" s="64"/>
      <c r="Q131" s="64"/>
      <c r="R131" s="75">
        <f t="shared" si="245"/>
        <v>25000</v>
      </c>
      <c r="T131" s="64">
        <v>8000</v>
      </c>
      <c r="U131" s="64"/>
      <c r="V131" s="64"/>
      <c r="W131" s="64"/>
      <c r="X131" s="75">
        <f t="shared" si="247"/>
        <v>8000</v>
      </c>
      <c r="Y131" s="194"/>
      <c r="Z131" s="64">
        <v>8000</v>
      </c>
      <c r="AA131" s="64"/>
      <c r="AB131" s="64"/>
      <c r="AC131" s="64"/>
      <c r="AD131" s="75">
        <f t="shared" si="249"/>
        <v>8000</v>
      </c>
      <c r="AE131" s="194"/>
      <c r="AF131" s="64">
        <v>0</v>
      </c>
      <c r="AG131" s="64"/>
      <c r="AH131" s="64"/>
      <c r="AI131" s="64"/>
      <c r="AJ131" s="75">
        <f t="shared" si="251"/>
        <v>0</v>
      </c>
      <c r="AL131" s="64"/>
      <c r="AM131" s="64"/>
      <c r="AN131" s="64"/>
      <c r="AO131" s="64"/>
      <c r="AP131" s="75">
        <f t="shared" si="253"/>
        <v>0</v>
      </c>
      <c r="AR131" s="75">
        <f t="shared" si="254"/>
        <v>58000</v>
      </c>
      <c r="AS131" s="75">
        <f t="shared" si="255"/>
        <v>0</v>
      </c>
      <c r="AT131" s="75">
        <f t="shared" si="256"/>
        <v>0</v>
      </c>
      <c r="AU131" s="75">
        <f t="shared" si="257"/>
        <v>0</v>
      </c>
      <c r="AV131" s="75">
        <f t="shared" si="258"/>
        <v>58000</v>
      </c>
    </row>
    <row r="132" spans="1:48" x14ac:dyDescent="0.25">
      <c r="A132" s="27"/>
      <c r="B132" s="76">
        <f>SUM(B126:B131)</f>
        <v>2242241.6625000001</v>
      </c>
      <c r="C132" s="76">
        <f t="shared" ref="C132:F132" si="269">SUM(C126:C131)</f>
        <v>303581.25</v>
      </c>
      <c r="D132" s="76">
        <f t="shared" si="269"/>
        <v>0</v>
      </c>
      <c r="E132" s="76">
        <f t="shared" si="269"/>
        <v>0</v>
      </c>
      <c r="F132" s="76">
        <f t="shared" si="269"/>
        <v>2545822.9125000001</v>
      </c>
      <c r="H132" s="76">
        <f>SUM(H126:H131)</f>
        <v>2093860.2562500001</v>
      </c>
      <c r="I132" s="76">
        <f t="shared" ref="I132:L132" si="270">SUM(I126:I131)</f>
        <v>273854.1875</v>
      </c>
      <c r="J132" s="76">
        <f t="shared" si="270"/>
        <v>0</v>
      </c>
      <c r="K132" s="76">
        <f t="shared" si="270"/>
        <v>0</v>
      </c>
      <c r="L132" s="76">
        <f t="shared" si="270"/>
        <v>2367714.4437500001</v>
      </c>
      <c r="N132" s="76">
        <f>SUM(N126:N131)</f>
        <v>4345392.3712499999</v>
      </c>
      <c r="O132" s="76">
        <f t="shared" ref="O132:R132" si="271">SUM(O126:O131)</f>
        <v>832220</v>
      </c>
      <c r="P132" s="76">
        <f t="shared" si="271"/>
        <v>0</v>
      </c>
      <c r="Q132" s="76">
        <f t="shared" si="271"/>
        <v>0</v>
      </c>
      <c r="R132" s="76">
        <f t="shared" si="271"/>
        <v>5177612.3712499999</v>
      </c>
      <c r="T132" s="76">
        <f>SUM(T126:T131)</f>
        <v>902398.91249999998</v>
      </c>
      <c r="U132" s="76">
        <f t="shared" ref="U132:X132" si="272">SUM(U126:U131)</f>
        <v>168637.3</v>
      </c>
      <c r="V132" s="76">
        <f t="shared" si="272"/>
        <v>0</v>
      </c>
      <c r="W132" s="76">
        <f t="shared" si="272"/>
        <v>0</v>
      </c>
      <c r="X132" s="76">
        <f t="shared" si="272"/>
        <v>1071036.2124999999</v>
      </c>
      <c r="Y132" s="199"/>
      <c r="Z132" s="76">
        <f>SUM(Z126:Z131)</f>
        <v>670771.77500000002</v>
      </c>
      <c r="AA132" s="76">
        <f t="shared" ref="AA132:AD132" si="273">SUM(AA126:AA131)</f>
        <v>93326.674999999988</v>
      </c>
      <c r="AB132" s="76">
        <f t="shared" si="273"/>
        <v>10</v>
      </c>
      <c r="AC132" s="76">
        <f t="shared" si="273"/>
        <v>0</v>
      </c>
      <c r="AD132" s="76">
        <f t="shared" si="273"/>
        <v>764108.45</v>
      </c>
      <c r="AE132" s="199"/>
      <c r="AF132" s="76">
        <f>SUM(AF126:AF131)</f>
        <v>0</v>
      </c>
      <c r="AG132" s="76">
        <f t="shared" ref="AG132:AJ132" si="274">SUM(AG126:AG131)</f>
        <v>0</v>
      </c>
      <c r="AH132" s="76">
        <f t="shared" si="274"/>
        <v>0</v>
      </c>
      <c r="AI132" s="76">
        <f t="shared" si="274"/>
        <v>0</v>
      </c>
      <c r="AJ132" s="76">
        <f t="shared" si="274"/>
        <v>0</v>
      </c>
      <c r="AL132" s="76">
        <f>SUM(AL126:AL131)</f>
        <v>45443.584999999999</v>
      </c>
      <c r="AM132" s="76">
        <f t="shared" ref="AM132:AP132" si="275">SUM(AM126:AM131)</f>
        <v>0</v>
      </c>
      <c r="AN132" s="76">
        <f t="shared" si="275"/>
        <v>0</v>
      </c>
      <c r="AO132" s="76">
        <f t="shared" si="275"/>
        <v>585237.5</v>
      </c>
      <c r="AP132" s="76">
        <f t="shared" si="275"/>
        <v>630681.08499999996</v>
      </c>
      <c r="AR132" s="76">
        <f>SUM(AR126:AR131)</f>
        <v>10300108.5625</v>
      </c>
      <c r="AS132" s="76">
        <f t="shared" ref="AS132:AV132" si="276">SUM(AS126:AS131)</f>
        <v>1671619.4124999999</v>
      </c>
      <c r="AT132" s="76">
        <f t="shared" si="276"/>
        <v>10</v>
      </c>
      <c r="AU132" s="76">
        <f t="shared" si="276"/>
        <v>585237.5</v>
      </c>
      <c r="AV132" s="76">
        <f t="shared" si="276"/>
        <v>12556975.475</v>
      </c>
    </row>
    <row r="133" spans="1:48" x14ac:dyDescent="0.25">
      <c r="B133" s="79"/>
      <c r="C133" s="79"/>
      <c r="D133" s="79"/>
      <c r="E133" s="79"/>
      <c r="F133" s="79"/>
      <c r="H133" s="79"/>
      <c r="I133" s="79"/>
      <c r="J133" s="79"/>
      <c r="K133" s="79"/>
      <c r="L133" s="79"/>
      <c r="N133" s="79"/>
      <c r="O133" s="79"/>
      <c r="P133" s="79"/>
      <c r="Q133" s="79"/>
      <c r="R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L133" s="79"/>
      <c r="AM133" s="79"/>
      <c r="AN133" s="79"/>
      <c r="AO133" s="79"/>
      <c r="AP133" s="79"/>
      <c r="AR133" s="79"/>
      <c r="AS133" s="79"/>
      <c r="AT133" s="79"/>
      <c r="AU133" s="79"/>
      <c r="AV133" s="79"/>
    </row>
    <row r="134" spans="1:48" x14ac:dyDescent="0.25">
      <c r="A134" s="28"/>
      <c r="B134" s="78" t="s">
        <v>157</v>
      </c>
      <c r="C134" s="78" t="s">
        <v>158</v>
      </c>
      <c r="D134" s="78" t="s">
        <v>159</v>
      </c>
      <c r="E134" s="78" t="str">
        <f>E118</f>
        <v>Other</v>
      </c>
      <c r="F134" s="78" t="str">
        <f>F118</f>
        <v>FY27- Mtn</v>
      </c>
      <c r="H134" s="78" t="s">
        <v>157</v>
      </c>
      <c r="I134" s="78" t="s">
        <v>158</v>
      </c>
      <c r="J134" s="78" t="s">
        <v>159</v>
      </c>
      <c r="K134" s="78" t="str">
        <f>K118</f>
        <v>Other</v>
      </c>
      <c r="L134" s="78" t="str">
        <f>L118</f>
        <v>FY27- Bon</v>
      </c>
      <c r="N134" s="78" t="s">
        <v>157</v>
      </c>
      <c r="O134" s="78" t="s">
        <v>158</v>
      </c>
      <c r="P134" s="78" t="s">
        <v>159</v>
      </c>
      <c r="Q134" s="78" t="str">
        <f>Q118</f>
        <v>Other</v>
      </c>
      <c r="R134" s="78" t="str">
        <f>R118</f>
        <v>FY27- East</v>
      </c>
      <c r="T134" s="78" t="s">
        <v>157</v>
      </c>
      <c r="U134" s="78" t="s">
        <v>158</v>
      </c>
      <c r="V134" s="78" t="s">
        <v>159</v>
      </c>
      <c r="W134" s="78" t="str">
        <f>W118</f>
        <v>Other</v>
      </c>
      <c r="X134" s="78" t="str">
        <f>X118</f>
        <v>FY27- Cactus</v>
      </c>
      <c r="Y134" s="201"/>
      <c r="Z134" s="78" t="s">
        <v>157</v>
      </c>
      <c r="AA134" s="78" t="s">
        <v>158</v>
      </c>
      <c r="AB134" s="78" t="s">
        <v>159</v>
      </c>
      <c r="AC134" s="78" t="str">
        <f>AC118</f>
        <v>Other</v>
      </c>
      <c r="AD134" s="78" t="str">
        <f>AD118</f>
        <v>FY27- Sahara</v>
      </c>
      <c r="AE134" s="201"/>
      <c r="AF134" s="78" t="s">
        <v>157</v>
      </c>
      <c r="AG134" s="78" t="s">
        <v>158</v>
      </c>
      <c r="AH134" s="78" t="s">
        <v>159</v>
      </c>
      <c r="AI134" s="78" t="str">
        <f>AI118</f>
        <v>Other</v>
      </c>
      <c r="AJ134" s="78" t="str">
        <f>AJ118</f>
        <v>FY27- VV</v>
      </c>
      <c r="AL134" s="78" t="s">
        <v>157</v>
      </c>
      <c r="AM134" s="78" t="s">
        <v>158</v>
      </c>
      <c r="AN134" s="78" t="s">
        <v>159</v>
      </c>
      <c r="AO134" s="78" t="str">
        <f>AO118</f>
        <v>Grant</v>
      </c>
      <c r="AP134" s="78" t="str">
        <f>AP118</f>
        <v>FY27 - Central</v>
      </c>
      <c r="AR134" s="78" t="s">
        <v>157</v>
      </c>
      <c r="AS134" s="78" t="s">
        <v>158</v>
      </c>
      <c r="AT134" s="78" t="s">
        <v>159</v>
      </c>
      <c r="AU134" s="78" t="str">
        <f>AU118</f>
        <v>Other</v>
      </c>
      <c r="AV134" s="78" t="str">
        <f>AV118</f>
        <v>FY27- Sys</v>
      </c>
    </row>
    <row r="135" spans="1:48" x14ac:dyDescent="0.25">
      <c r="A135" s="30" t="s">
        <v>99</v>
      </c>
      <c r="B135" s="75">
        <f>(230*1050)</f>
        <v>241500</v>
      </c>
      <c r="C135" s="75"/>
      <c r="D135" s="75"/>
      <c r="E135" s="75"/>
      <c r="F135" s="75">
        <f>SUM(B135:E135)</f>
        <v>241500</v>
      </c>
      <c r="H135" s="75">
        <f>(230*1050)</f>
        <v>241500</v>
      </c>
      <c r="I135" s="75"/>
      <c r="J135" s="75"/>
      <c r="K135" s="75"/>
      <c r="L135" s="75">
        <f>SUM(H135:K135)</f>
        <v>241500</v>
      </c>
      <c r="N135" s="75">
        <f>(230*2500)</f>
        <v>575000</v>
      </c>
      <c r="O135" s="75"/>
      <c r="P135" s="75"/>
      <c r="Q135" s="75"/>
      <c r="R135" s="75">
        <f>SUM(N135:Q135)</f>
        <v>575000</v>
      </c>
      <c r="T135" s="75">
        <f>(235*500)</f>
        <v>117500</v>
      </c>
      <c r="U135" s="75"/>
      <c r="V135" s="75"/>
      <c r="W135" s="75"/>
      <c r="X135" s="75">
        <f>SUM(T135:W135)</f>
        <v>117500</v>
      </c>
      <c r="Y135" s="194"/>
      <c r="Z135" s="75">
        <f>(150*450)</f>
        <v>67500</v>
      </c>
      <c r="AA135" s="75"/>
      <c r="AB135" s="75"/>
      <c r="AC135" s="75"/>
      <c r="AD135" s="75">
        <f>SUM(Z135:AC135)</f>
        <v>67500</v>
      </c>
      <c r="AE135" s="194"/>
      <c r="AF135" s="75">
        <v>0</v>
      </c>
      <c r="AG135" s="75"/>
      <c r="AH135" s="75"/>
      <c r="AI135" s="75"/>
      <c r="AJ135" s="75">
        <f>SUM(AF135:AI135)</f>
        <v>0</v>
      </c>
      <c r="AL135" s="75"/>
      <c r="AM135" s="75"/>
      <c r="AN135" s="75"/>
      <c r="AO135" s="75"/>
      <c r="AP135" s="75">
        <f>SUM(AL135:AO135)</f>
        <v>0</v>
      </c>
      <c r="AR135" s="75">
        <f>B135+H135+N135+T135+AL135+AF135+Z135</f>
        <v>1243000</v>
      </c>
      <c r="AS135" s="75">
        <f t="shared" ref="AS135:AU135" si="277">C135+I135+O135+U135+AM135+AG135+AA135</f>
        <v>0</v>
      </c>
      <c r="AT135" s="75">
        <f t="shared" si="277"/>
        <v>0</v>
      </c>
      <c r="AU135" s="75">
        <f t="shared" si="277"/>
        <v>0</v>
      </c>
      <c r="AV135" s="75">
        <f>SUM(AR135:AU135)</f>
        <v>1243000</v>
      </c>
    </row>
    <row r="136" spans="1:48" x14ac:dyDescent="0.25">
      <c r="A136" s="31" t="s">
        <v>100</v>
      </c>
      <c r="B136" s="63"/>
      <c r="C136" s="63"/>
      <c r="D136" s="63"/>
      <c r="E136" s="63"/>
      <c r="F136" s="75">
        <f t="shared" ref="F136:F140" si="278">SUM(B136:E136)</f>
        <v>0</v>
      </c>
      <c r="H136" s="63"/>
      <c r="I136" s="63"/>
      <c r="J136" s="63"/>
      <c r="K136" s="63"/>
      <c r="L136" s="75">
        <f t="shared" ref="L136:L140" si="279">SUM(H136:K136)</f>
        <v>0</v>
      </c>
      <c r="N136" s="63">
        <v>275000</v>
      </c>
      <c r="O136" s="63"/>
      <c r="P136" s="63"/>
      <c r="Q136" s="63"/>
      <c r="R136" s="75">
        <f t="shared" ref="R136:R140" si="280">SUM(N136:Q136)</f>
        <v>275000</v>
      </c>
      <c r="T136" s="63"/>
      <c r="U136" s="63"/>
      <c r="V136" s="63"/>
      <c r="W136" s="63"/>
      <c r="X136" s="75">
        <f t="shared" ref="X136:X140" si="281">SUM(T136:W136)</f>
        <v>0</v>
      </c>
      <c r="Y136" s="194"/>
      <c r="Z136" s="63"/>
      <c r="AA136" s="63"/>
      <c r="AB136" s="63"/>
      <c r="AC136" s="63"/>
      <c r="AD136" s="75">
        <f t="shared" ref="AD136:AD140" si="282">SUM(Z136:AC136)</f>
        <v>0</v>
      </c>
      <c r="AE136" s="194"/>
      <c r="AF136" s="63"/>
      <c r="AG136" s="63"/>
      <c r="AH136" s="63"/>
      <c r="AI136" s="63"/>
      <c r="AJ136" s="75">
        <f t="shared" ref="AJ136:AJ140" si="283">SUM(AF136:AI136)</f>
        <v>0</v>
      </c>
      <c r="AL136" s="63"/>
      <c r="AM136" s="63"/>
      <c r="AN136" s="63"/>
      <c r="AO136" s="63"/>
      <c r="AP136" s="75">
        <f t="shared" ref="AP136:AP140" si="284">SUM(AL136:AO136)</f>
        <v>0</v>
      </c>
      <c r="AR136" s="75">
        <f t="shared" ref="AR136:AR140" si="285">B136+H136+N136+T136+AL136+AF136+Z136</f>
        <v>275000</v>
      </c>
      <c r="AS136" s="75">
        <f t="shared" ref="AS136:AS140" si="286">C136+I136+O136+U136+AM136+AG136+AA136</f>
        <v>0</v>
      </c>
      <c r="AT136" s="75">
        <f t="shared" ref="AT136:AT140" si="287">D136+J136+P136+V136+AN136+AH136+AB136</f>
        <v>0</v>
      </c>
      <c r="AU136" s="75">
        <f t="shared" ref="AU136:AU140" si="288">E136+K136+Q136+W136+AO136+AI136+AC136</f>
        <v>0</v>
      </c>
      <c r="AV136" s="75">
        <f t="shared" ref="AV136:AV140" si="289">SUM(AR136:AU136)</f>
        <v>275000</v>
      </c>
    </row>
    <row r="137" spans="1:48" x14ac:dyDescent="0.25">
      <c r="A137" s="32" t="s">
        <v>101</v>
      </c>
      <c r="B137" s="63"/>
      <c r="C137" s="63"/>
      <c r="D137" s="63"/>
      <c r="E137" s="63"/>
      <c r="F137" s="75">
        <f t="shared" si="278"/>
        <v>0</v>
      </c>
      <c r="H137" s="63"/>
      <c r="I137" s="63"/>
      <c r="J137" s="63"/>
      <c r="K137" s="63"/>
      <c r="L137" s="75">
        <f t="shared" si="279"/>
        <v>0</v>
      </c>
      <c r="N137" s="63">
        <f>1500*50</f>
        <v>75000</v>
      </c>
      <c r="O137" s="63"/>
      <c r="P137" s="63"/>
      <c r="Q137" s="63"/>
      <c r="R137" s="75">
        <f t="shared" si="280"/>
        <v>75000</v>
      </c>
      <c r="T137" s="63"/>
      <c r="U137" s="63"/>
      <c r="V137" s="63"/>
      <c r="W137" s="63"/>
      <c r="X137" s="75">
        <f t="shared" si="281"/>
        <v>0</v>
      </c>
      <c r="Y137" s="194"/>
      <c r="Z137" s="63"/>
      <c r="AA137" s="63"/>
      <c r="AB137" s="63"/>
      <c r="AC137" s="63"/>
      <c r="AD137" s="75">
        <f t="shared" si="282"/>
        <v>0</v>
      </c>
      <c r="AE137" s="194"/>
      <c r="AF137" s="63"/>
      <c r="AG137" s="63"/>
      <c r="AH137" s="63"/>
      <c r="AI137" s="63"/>
      <c r="AJ137" s="75">
        <f t="shared" si="283"/>
        <v>0</v>
      </c>
      <c r="AL137" s="63"/>
      <c r="AM137" s="63"/>
      <c r="AN137" s="63"/>
      <c r="AO137" s="63"/>
      <c r="AP137" s="75">
        <f t="shared" si="284"/>
        <v>0</v>
      </c>
      <c r="AR137" s="75">
        <f t="shared" si="285"/>
        <v>75000</v>
      </c>
      <c r="AS137" s="75">
        <f t="shared" si="286"/>
        <v>0</v>
      </c>
      <c r="AT137" s="75">
        <f t="shared" si="287"/>
        <v>0</v>
      </c>
      <c r="AU137" s="75">
        <f t="shared" si="288"/>
        <v>0</v>
      </c>
      <c r="AV137" s="75">
        <f t="shared" si="289"/>
        <v>75000</v>
      </c>
    </row>
    <row r="138" spans="1:48" x14ac:dyDescent="0.25">
      <c r="A138" s="32" t="s">
        <v>102</v>
      </c>
      <c r="B138" s="63">
        <f>36*B17</f>
        <v>37008</v>
      </c>
      <c r="C138" s="63"/>
      <c r="D138" s="63"/>
      <c r="E138" s="63"/>
      <c r="F138" s="75">
        <f t="shared" si="278"/>
        <v>37008</v>
      </c>
      <c r="H138" s="63">
        <f>36*H17</f>
        <v>37008</v>
      </c>
      <c r="I138" s="63"/>
      <c r="J138" s="63"/>
      <c r="K138" s="63"/>
      <c r="L138" s="75">
        <f t="shared" si="279"/>
        <v>37008</v>
      </c>
      <c r="N138" s="63">
        <f>36*N17</f>
        <v>88524</v>
      </c>
      <c r="O138" s="63"/>
      <c r="P138" s="63"/>
      <c r="Q138" s="63"/>
      <c r="R138" s="75">
        <f t="shared" si="280"/>
        <v>88524</v>
      </c>
      <c r="T138" s="63">
        <f>37*T17</f>
        <v>19721</v>
      </c>
      <c r="U138" s="63"/>
      <c r="V138" s="63"/>
      <c r="W138" s="63"/>
      <c r="X138" s="75">
        <f t="shared" si="281"/>
        <v>19721</v>
      </c>
      <c r="Y138" s="194"/>
      <c r="Z138" s="63">
        <f>37*Z17</f>
        <v>15873</v>
      </c>
      <c r="AA138" s="63"/>
      <c r="AB138" s="63"/>
      <c r="AC138" s="63"/>
      <c r="AD138" s="75">
        <f t="shared" si="282"/>
        <v>15873</v>
      </c>
      <c r="AE138" s="194"/>
      <c r="AF138" s="63">
        <f>37*AF17</f>
        <v>0</v>
      </c>
      <c r="AG138" s="63"/>
      <c r="AH138" s="63"/>
      <c r="AI138" s="63"/>
      <c r="AJ138" s="75">
        <f t="shared" si="283"/>
        <v>0</v>
      </c>
      <c r="AL138" s="63">
        <f>35*AL17</f>
        <v>0</v>
      </c>
      <c r="AM138" s="63"/>
      <c r="AN138" s="63"/>
      <c r="AO138" s="63"/>
      <c r="AP138" s="75">
        <f t="shared" si="284"/>
        <v>0</v>
      </c>
      <c r="AR138" s="75">
        <f t="shared" si="285"/>
        <v>198134</v>
      </c>
      <c r="AS138" s="75">
        <f t="shared" si="286"/>
        <v>0</v>
      </c>
      <c r="AT138" s="75">
        <f t="shared" si="287"/>
        <v>0</v>
      </c>
      <c r="AU138" s="75">
        <f t="shared" si="288"/>
        <v>0</v>
      </c>
      <c r="AV138" s="75">
        <f t="shared" si="289"/>
        <v>198134</v>
      </c>
    </row>
    <row r="139" spans="1:48" x14ac:dyDescent="0.25">
      <c r="A139" s="32" t="s">
        <v>103</v>
      </c>
      <c r="B139" s="63">
        <f>(23*B17)</f>
        <v>23644</v>
      </c>
      <c r="C139" s="63"/>
      <c r="D139" s="63"/>
      <c r="E139" s="63"/>
      <c r="F139" s="75">
        <f t="shared" si="278"/>
        <v>23644</v>
      </c>
      <c r="H139" s="63">
        <f>(23*H17)</f>
        <v>23644</v>
      </c>
      <c r="I139" s="63"/>
      <c r="J139" s="63"/>
      <c r="K139" s="63"/>
      <c r="L139" s="75">
        <f t="shared" si="279"/>
        <v>23644</v>
      </c>
      <c r="N139" s="63">
        <f>(23*N17)</f>
        <v>56557</v>
      </c>
      <c r="O139" s="63"/>
      <c r="P139" s="63"/>
      <c r="Q139" s="63"/>
      <c r="R139" s="75">
        <f t="shared" si="280"/>
        <v>56557</v>
      </c>
      <c r="T139" s="63">
        <f>(24*T17)</f>
        <v>12792</v>
      </c>
      <c r="U139" s="63"/>
      <c r="V139" s="63"/>
      <c r="W139" s="63"/>
      <c r="X139" s="75">
        <f t="shared" si="281"/>
        <v>12792</v>
      </c>
      <c r="Y139" s="194"/>
      <c r="Z139" s="63">
        <f>(24*Z17)</f>
        <v>10296</v>
      </c>
      <c r="AA139" s="63"/>
      <c r="AB139" s="63"/>
      <c r="AC139" s="63"/>
      <c r="AD139" s="75">
        <f t="shared" si="282"/>
        <v>10296</v>
      </c>
      <c r="AE139" s="194"/>
      <c r="AF139" s="63">
        <f>(24*AF17)</f>
        <v>0</v>
      </c>
      <c r="AG139" s="63"/>
      <c r="AH139" s="63"/>
      <c r="AI139" s="63"/>
      <c r="AJ139" s="75">
        <f t="shared" si="283"/>
        <v>0</v>
      </c>
      <c r="AL139" s="63">
        <f>(22*AL17)</f>
        <v>0</v>
      </c>
      <c r="AM139" s="63"/>
      <c r="AN139" s="63"/>
      <c r="AO139" s="63"/>
      <c r="AP139" s="75">
        <f t="shared" si="284"/>
        <v>0</v>
      </c>
      <c r="AR139" s="75">
        <f t="shared" si="285"/>
        <v>126933</v>
      </c>
      <c r="AS139" s="75">
        <f t="shared" si="286"/>
        <v>0</v>
      </c>
      <c r="AT139" s="75">
        <f t="shared" si="287"/>
        <v>0</v>
      </c>
      <c r="AU139" s="75">
        <f t="shared" si="288"/>
        <v>0</v>
      </c>
      <c r="AV139" s="75">
        <f t="shared" si="289"/>
        <v>126933</v>
      </c>
    </row>
    <row r="140" spans="1:48" x14ac:dyDescent="0.25">
      <c r="A140" s="33" t="s">
        <v>104</v>
      </c>
      <c r="B140" s="64"/>
      <c r="C140" s="64">
        <f>180*C21</f>
        <v>18900</v>
      </c>
      <c r="D140" s="64"/>
      <c r="E140" s="64"/>
      <c r="F140" s="75">
        <f t="shared" si="278"/>
        <v>18900</v>
      </c>
      <c r="H140" s="64"/>
      <c r="I140" s="64">
        <f>180*I21</f>
        <v>18900</v>
      </c>
      <c r="J140" s="64"/>
      <c r="K140" s="64"/>
      <c r="L140" s="75">
        <f t="shared" si="279"/>
        <v>18900</v>
      </c>
      <c r="N140" s="64"/>
      <c r="O140" s="64">
        <f>180*O21</f>
        <v>47520</v>
      </c>
      <c r="P140" s="64"/>
      <c r="Q140" s="64"/>
      <c r="R140" s="75">
        <f t="shared" si="280"/>
        <v>47520</v>
      </c>
      <c r="T140" s="64"/>
      <c r="U140" s="64">
        <f>200*U21</f>
        <v>11000</v>
      </c>
      <c r="V140" s="64"/>
      <c r="W140" s="64"/>
      <c r="X140" s="75">
        <f t="shared" si="281"/>
        <v>11000</v>
      </c>
      <c r="Y140" s="194"/>
      <c r="Z140" s="64"/>
      <c r="AA140" s="64">
        <f>200*AA21</f>
        <v>10000</v>
      </c>
      <c r="AB140" s="64"/>
      <c r="AC140" s="64"/>
      <c r="AD140" s="75">
        <f t="shared" si="282"/>
        <v>10000</v>
      </c>
      <c r="AE140" s="194"/>
      <c r="AF140" s="64"/>
      <c r="AG140" s="64">
        <f>200*AG21</f>
        <v>0</v>
      </c>
      <c r="AH140" s="64"/>
      <c r="AI140" s="64"/>
      <c r="AJ140" s="75">
        <f t="shared" si="283"/>
        <v>0</v>
      </c>
      <c r="AL140" s="64"/>
      <c r="AM140" s="64">
        <f>175*AM21</f>
        <v>0</v>
      </c>
      <c r="AN140" s="64"/>
      <c r="AO140" s="64"/>
      <c r="AP140" s="75">
        <f t="shared" si="284"/>
        <v>0</v>
      </c>
      <c r="AR140" s="75">
        <f t="shared" si="285"/>
        <v>0</v>
      </c>
      <c r="AS140" s="75">
        <f t="shared" si="286"/>
        <v>106320</v>
      </c>
      <c r="AT140" s="75">
        <f t="shared" si="287"/>
        <v>0</v>
      </c>
      <c r="AU140" s="75">
        <f t="shared" si="288"/>
        <v>0</v>
      </c>
      <c r="AV140" s="75">
        <f t="shared" si="289"/>
        <v>106320</v>
      </c>
    </row>
    <row r="141" spans="1:48" x14ac:dyDescent="0.25">
      <c r="A141" s="34"/>
      <c r="B141" s="76">
        <f>SUM(B135:B140)</f>
        <v>302152</v>
      </c>
      <c r="C141" s="76">
        <f t="shared" ref="C141:F141" si="290">SUM(C135:C140)</f>
        <v>18900</v>
      </c>
      <c r="D141" s="76">
        <f t="shared" si="290"/>
        <v>0</v>
      </c>
      <c r="E141" s="76">
        <f t="shared" si="290"/>
        <v>0</v>
      </c>
      <c r="F141" s="76">
        <f t="shared" si="290"/>
        <v>321052</v>
      </c>
      <c r="H141" s="76">
        <f>SUM(H135:H140)</f>
        <v>302152</v>
      </c>
      <c r="I141" s="76">
        <f t="shared" ref="I141:L141" si="291">SUM(I135:I140)</f>
        <v>18900</v>
      </c>
      <c r="J141" s="76">
        <f t="shared" si="291"/>
        <v>0</v>
      </c>
      <c r="K141" s="76">
        <f t="shared" si="291"/>
        <v>0</v>
      </c>
      <c r="L141" s="76">
        <f t="shared" si="291"/>
        <v>321052</v>
      </c>
      <c r="N141" s="76">
        <f>SUM(N135:N140)</f>
        <v>1070081</v>
      </c>
      <c r="O141" s="76">
        <f t="shared" ref="O141:R141" si="292">SUM(O135:O140)</f>
        <v>47520</v>
      </c>
      <c r="P141" s="76">
        <f t="shared" si="292"/>
        <v>0</v>
      </c>
      <c r="Q141" s="76">
        <f t="shared" si="292"/>
        <v>0</v>
      </c>
      <c r="R141" s="76">
        <f t="shared" si="292"/>
        <v>1117601</v>
      </c>
      <c r="T141" s="76">
        <f>SUM(T135:T140)</f>
        <v>150013</v>
      </c>
      <c r="U141" s="76">
        <f t="shared" ref="U141:X141" si="293">SUM(U135:U140)</f>
        <v>11000</v>
      </c>
      <c r="V141" s="76">
        <f t="shared" si="293"/>
        <v>0</v>
      </c>
      <c r="W141" s="76">
        <f t="shared" si="293"/>
        <v>0</v>
      </c>
      <c r="X141" s="76">
        <f t="shared" si="293"/>
        <v>161013</v>
      </c>
      <c r="Y141" s="199"/>
      <c r="Z141" s="76">
        <f>SUM(Z135:Z140)</f>
        <v>93669</v>
      </c>
      <c r="AA141" s="76">
        <f t="shared" ref="AA141:AD141" si="294">SUM(AA135:AA140)</f>
        <v>10000</v>
      </c>
      <c r="AB141" s="76">
        <f t="shared" si="294"/>
        <v>0</v>
      </c>
      <c r="AC141" s="76">
        <f t="shared" si="294"/>
        <v>0</v>
      </c>
      <c r="AD141" s="76">
        <f t="shared" si="294"/>
        <v>103669</v>
      </c>
      <c r="AE141" s="199"/>
      <c r="AF141" s="76">
        <f>SUM(AF135:AF140)</f>
        <v>0</v>
      </c>
      <c r="AG141" s="76">
        <f t="shared" ref="AG141:AJ141" si="295">SUM(AG135:AG140)</f>
        <v>0</v>
      </c>
      <c r="AH141" s="76">
        <f t="shared" si="295"/>
        <v>0</v>
      </c>
      <c r="AI141" s="76">
        <f t="shared" si="295"/>
        <v>0</v>
      </c>
      <c r="AJ141" s="76">
        <f t="shared" si="295"/>
        <v>0</v>
      </c>
      <c r="AL141" s="76">
        <f>SUM(AL135:AL140)</f>
        <v>0</v>
      </c>
      <c r="AM141" s="76">
        <f t="shared" ref="AM141:AP141" si="296">SUM(AM135:AM140)</f>
        <v>0</v>
      </c>
      <c r="AN141" s="76">
        <f t="shared" si="296"/>
        <v>0</v>
      </c>
      <c r="AO141" s="76">
        <f t="shared" si="296"/>
        <v>0</v>
      </c>
      <c r="AP141" s="76">
        <f t="shared" si="296"/>
        <v>0</v>
      </c>
      <c r="AR141" s="76">
        <f>SUM(AR135:AR140)</f>
        <v>1918067</v>
      </c>
      <c r="AS141" s="76">
        <f t="shared" ref="AS141:AV141" si="297">SUM(AS135:AS140)</f>
        <v>106320</v>
      </c>
      <c r="AT141" s="76">
        <f t="shared" si="297"/>
        <v>0</v>
      </c>
      <c r="AU141" s="76">
        <f t="shared" si="297"/>
        <v>0</v>
      </c>
      <c r="AV141" s="76">
        <f t="shared" si="297"/>
        <v>2024387</v>
      </c>
    </row>
    <row r="142" spans="1:48" x14ac:dyDescent="0.25">
      <c r="B142" s="77"/>
      <c r="C142" s="77"/>
      <c r="D142" s="77"/>
      <c r="E142" s="77"/>
      <c r="F142" s="77"/>
      <c r="H142" s="77"/>
      <c r="I142" s="77"/>
      <c r="J142" s="77"/>
      <c r="K142" s="77"/>
      <c r="L142" s="77"/>
      <c r="N142" s="77"/>
      <c r="O142" s="77"/>
      <c r="P142" s="77"/>
      <c r="Q142" s="77"/>
      <c r="R142" s="77"/>
      <c r="T142" s="77"/>
      <c r="U142" s="77"/>
      <c r="V142" s="77"/>
      <c r="W142" s="77"/>
      <c r="X142" s="77"/>
      <c r="Y142" s="79"/>
      <c r="Z142" s="77"/>
      <c r="AA142" s="77"/>
      <c r="AB142" s="77"/>
      <c r="AC142" s="77"/>
      <c r="AD142" s="77"/>
      <c r="AE142" s="79"/>
      <c r="AF142" s="77"/>
      <c r="AG142" s="77"/>
      <c r="AH142" s="77"/>
      <c r="AI142" s="77"/>
      <c r="AJ142" s="77"/>
      <c r="AL142" s="77"/>
      <c r="AM142" s="77"/>
      <c r="AN142" s="77"/>
      <c r="AO142" s="77"/>
      <c r="AP142" s="77"/>
      <c r="AR142" s="77"/>
      <c r="AS142" s="77"/>
      <c r="AT142" s="77"/>
      <c r="AU142" s="77"/>
      <c r="AV142" s="77"/>
    </row>
    <row r="143" spans="1:48" x14ac:dyDescent="0.25">
      <c r="A143" s="28"/>
      <c r="B143" s="78" t="s">
        <v>157</v>
      </c>
      <c r="C143" s="78" t="s">
        <v>158</v>
      </c>
      <c r="D143" s="78" t="s">
        <v>159</v>
      </c>
      <c r="E143" s="78" t="str">
        <f>E134</f>
        <v>Other</v>
      </c>
      <c r="F143" s="78" t="str">
        <f>F134</f>
        <v>FY27- Mtn</v>
      </c>
      <c r="H143" s="78" t="s">
        <v>157</v>
      </c>
      <c r="I143" s="78" t="s">
        <v>158</v>
      </c>
      <c r="J143" s="78" t="s">
        <v>159</v>
      </c>
      <c r="K143" s="78" t="str">
        <f>K134</f>
        <v>Other</v>
      </c>
      <c r="L143" s="78" t="str">
        <f>L134</f>
        <v>FY27- Bon</v>
      </c>
      <c r="N143" s="78" t="s">
        <v>157</v>
      </c>
      <c r="O143" s="78" t="s">
        <v>158</v>
      </c>
      <c r="P143" s="78" t="s">
        <v>159</v>
      </c>
      <c r="Q143" s="78" t="str">
        <f>Q134</f>
        <v>Other</v>
      </c>
      <c r="R143" s="78" t="str">
        <f>R134</f>
        <v>FY27- East</v>
      </c>
      <c r="T143" s="78" t="s">
        <v>157</v>
      </c>
      <c r="U143" s="78" t="s">
        <v>158</v>
      </c>
      <c r="V143" s="78" t="s">
        <v>159</v>
      </c>
      <c r="W143" s="78" t="str">
        <f>W134</f>
        <v>Other</v>
      </c>
      <c r="X143" s="78" t="str">
        <f>X134</f>
        <v>FY27- Cactus</v>
      </c>
      <c r="Y143" s="201"/>
      <c r="Z143" s="78" t="s">
        <v>157</v>
      </c>
      <c r="AA143" s="78" t="s">
        <v>158</v>
      </c>
      <c r="AB143" s="78" t="s">
        <v>159</v>
      </c>
      <c r="AC143" s="78" t="str">
        <f>AC134</f>
        <v>Other</v>
      </c>
      <c r="AD143" s="78" t="str">
        <f>AD134</f>
        <v>FY27- Sahara</v>
      </c>
      <c r="AE143" s="201"/>
      <c r="AF143" s="78" t="s">
        <v>157</v>
      </c>
      <c r="AG143" s="78" t="s">
        <v>158</v>
      </c>
      <c r="AH143" s="78" t="s">
        <v>159</v>
      </c>
      <c r="AI143" s="78" t="str">
        <f>AI134</f>
        <v>Other</v>
      </c>
      <c r="AJ143" s="78" t="str">
        <f>AJ134</f>
        <v>FY27- VV</v>
      </c>
      <c r="AL143" s="78" t="s">
        <v>157</v>
      </c>
      <c r="AM143" s="78" t="s">
        <v>158</v>
      </c>
      <c r="AN143" s="78" t="s">
        <v>159</v>
      </c>
      <c r="AO143" s="78" t="str">
        <f>AO134</f>
        <v>Grant</v>
      </c>
      <c r="AP143" s="78" t="str">
        <f>AP134</f>
        <v>FY27 - Central</v>
      </c>
      <c r="AR143" s="78" t="s">
        <v>157</v>
      </c>
      <c r="AS143" s="78" t="s">
        <v>158</v>
      </c>
      <c r="AT143" s="78" t="s">
        <v>159</v>
      </c>
      <c r="AU143" s="78" t="str">
        <f>AU134</f>
        <v>Other</v>
      </c>
      <c r="AV143" s="78" t="str">
        <f>AV134</f>
        <v>FY27- Sys</v>
      </c>
    </row>
    <row r="144" spans="1:48" x14ac:dyDescent="0.25">
      <c r="A144" s="35" t="s">
        <v>105</v>
      </c>
      <c r="B144" s="75">
        <f>31*B17</f>
        <v>31868</v>
      </c>
      <c r="C144" s="75"/>
      <c r="D144" s="75"/>
      <c r="E144" s="75"/>
      <c r="F144" s="75">
        <f>SUM(B144:E144)</f>
        <v>31868</v>
      </c>
      <c r="H144" s="75">
        <f>31*H17</f>
        <v>31868</v>
      </c>
      <c r="I144" s="75"/>
      <c r="J144" s="75"/>
      <c r="K144" s="75"/>
      <c r="L144" s="75">
        <f>SUM(H144:K144)</f>
        <v>31868</v>
      </c>
      <c r="N144" s="75">
        <f>31*N17</f>
        <v>76229</v>
      </c>
      <c r="O144" s="75"/>
      <c r="P144" s="75"/>
      <c r="Q144" s="75"/>
      <c r="R144" s="75">
        <f>SUM(N144:Q144)</f>
        <v>76229</v>
      </c>
      <c r="T144" s="75">
        <f>32*T17</f>
        <v>17056</v>
      </c>
      <c r="U144" s="75"/>
      <c r="V144" s="75"/>
      <c r="W144" s="75"/>
      <c r="X144" s="75">
        <f>SUM(T144:W144)</f>
        <v>17056</v>
      </c>
      <c r="Y144" s="194"/>
      <c r="Z144" s="75">
        <f>32*Z17</f>
        <v>13728</v>
      </c>
      <c r="AA144" s="75"/>
      <c r="AB144" s="75"/>
      <c r="AC144" s="75"/>
      <c r="AD144" s="75">
        <f>SUM(Z144:AC144)</f>
        <v>13728</v>
      </c>
      <c r="AE144" s="194"/>
      <c r="AF144" s="75">
        <f>32*AF17</f>
        <v>0</v>
      </c>
      <c r="AG144" s="75"/>
      <c r="AH144" s="75"/>
      <c r="AI144" s="75"/>
      <c r="AJ144" s="75">
        <f>SUM(AF144:AI144)</f>
        <v>0</v>
      </c>
      <c r="AL144" s="75">
        <f>6000+250</f>
        <v>6250</v>
      </c>
      <c r="AM144" s="75"/>
      <c r="AN144" s="75"/>
      <c r="AO144" s="75"/>
      <c r="AP144" s="75">
        <f>SUM(AL144:AO144)</f>
        <v>6250</v>
      </c>
      <c r="AR144" s="75">
        <f>B144+H144+N144+T144+AL144+AF144+Z144</f>
        <v>176999</v>
      </c>
      <c r="AS144" s="75">
        <f t="shared" ref="AS144:AU144" si="298">C144+I144+O144+U144+AM144+AG144+AA144</f>
        <v>0</v>
      </c>
      <c r="AT144" s="75">
        <f t="shared" si="298"/>
        <v>0</v>
      </c>
      <c r="AU144" s="75">
        <f t="shared" si="298"/>
        <v>0</v>
      </c>
      <c r="AV144" s="75">
        <f>SUM(AR144:AU144)</f>
        <v>176999</v>
      </c>
    </row>
    <row r="145" spans="1:48" x14ac:dyDescent="0.25">
      <c r="A145" s="32" t="s">
        <v>103</v>
      </c>
      <c r="B145" s="63">
        <f>(3.25*B17)</f>
        <v>3341</v>
      </c>
      <c r="C145" s="63"/>
      <c r="D145" s="63"/>
      <c r="E145" s="63"/>
      <c r="F145" s="75">
        <f t="shared" ref="F145:F148" si="299">SUM(B145:E145)</f>
        <v>3341</v>
      </c>
      <c r="H145" s="63">
        <f>(3.25*H17)</f>
        <v>3341</v>
      </c>
      <c r="I145" s="63"/>
      <c r="J145" s="63"/>
      <c r="K145" s="63"/>
      <c r="L145" s="75">
        <f t="shared" ref="L145:L148" si="300">SUM(H145:K145)</f>
        <v>3341</v>
      </c>
      <c r="N145" s="63">
        <f>(3.25*N17)</f>
        <v>7991.75</v>
      </c>
      <c r="O145" s="63"/>
      <c r="P145" s="63"/>
      <c r="Q145" s="63"/>
      <c r="R145" s="75">
        <f t="shared" ref="R145:R148" si="301">SUM(N145:Q145)</f>
        <v>7991.75</v>
      </c>
      <c r="T145" s="63">
        <f>(4*T17)</f>
        <v>2132</v>
      </c>
      <c r="U145" s="63"/>
      <c r="V145" s="63"/>
      <c r="W145" s="63"/>
      <c r="X145" s="75">
        <f t="shared" ref="X145:X148" si="302">SUM(T145:W145)</f>
        <v>2132</v>
      </c>
      <c r="Y145" s="194"/>
      <c r="Z145" s="63">
        <f>(4*Z17)</f>
        <v>1716</v>
      </c>
      <c r="AA145" s="63"/>
      <c r="AB145" s="63"/>
      <c r="AC145" s="63"/>
      <c r="AD145" s="75">
        <f t="shared" ref="AD145:AD148" si="303">SUM(Z145:AC145)</f>
        <v>1716</v>
      </c>
      <c r="AE145" s="194"/>
      <c r="AF145" s="63">
        <f>(4*AF17)</f>
        <v>0</v>
      </c>
      <c r="AG145" s="63"/>
      <c r="AH145" s="63"/>
      <c r="AI145" s="63"/>
      <c r="AJ145" s="75">
        <f t="shared" ref="AJ145:AJ148" si="304">SUM(AF145:AI145)</f>
        <v>0</v>
      </c>
      <c r="AL145" s="63">
        <f>(3*AL17)</f>
        <v>0</v>
      </c>
      <c r="AM145" s="63"/>
      <c r="AN145" s="63"/>
      <c r="AO145" s="63"/>
      <c r="AP145" s="75">
        <f t="shared" ref="AP145:AP148" si="305">SUM(AL145:AO145)</f>
        <v>0</v>
      </c>
      <c r="AR145" s="75">
        <f t="shared" ref="AR145:AR148" si="306">B145+H145+N145+T145+AL145+AF145+Z145</f>
        <v>18521.75</v>
      </c>
      <c r="AS145" s="75">
        <f t="shared" ref="AS145:AS148" si="307">C145+I145+O145+U145+AM145+AG145+AA145</f>
        <v>0</v>
      </c>
      <c r="AT145" s="75">
        <f t="shared" ref="AT145:AT148" si="308">D145+J145+P145+V145+AN145+AH145+AB145</f>
        <v>0</v>
      </c>
      <c r="AU145" s="75">
        <f t="shared" ref="AU145:AU148" si="309">E145+K145+Q145+W145+AO145+AI145+AC145</f>
        <v>0</v>
      </c>
      <c r="AV145" s="75">
        <f t="shared" ref="AV145:AV148" si="310">SUM(AR145:AU145)</f>
        <v>18521.75</v>
      </c>
    </row>
    <row r="146" spans="1:48" x14ac:dyDescent="0.25">
      <c r="A146" s="32" t="s">
        <v>106</v>
      </c>
      <c r="B146" s="63">
        <f>8.5*B17</f>
        <v>8738</v>
      </c>
      <c r="C146" s="63"/>
      <c r="D146" s="63"/>
      <c r="E146" s="63"/>
      <c r="F146" s="75">
        <f t="shared" si="299"/>
        <v>8738</v>
      </c>
      <c r="H146" s="63">
        <f>8.5*H17</f>
        <v>8738</v>
      </c>
      <c r="I146" s="63"/>
      <c r="J146" s="63"/>
      <c r="K146" s="63"/>
      <c r="L146" s="75">
        <f t="shared" si="300"/>
        <v>8738</v>
      </c>
      <c r="N146" s="63">
        <f>8.5*N17</f>
        <v>20901.5</v>
      </c>
      <c r="O146" s="63"/>
      <c r="P146" s="63"/>
      <c r="Q146" s="63"/>
      <c r="R146" s="75">
        <f t="shared" si="301"/>
        <v>20901.5</v>
      </c>
      <c r="T146" s="63">
        <f>9*T17</f>
        <v>4797</v>
      </c>
      <c r="U146" s="63"/>
      <c r="V146" s="63"/>
      <c r="W146" s="63"/>
      <c r="X146" s="75">
        <f t="shared" si="302"/>
        <v>4797</v>
      </c>
      <c r="Y146" s="194"/>
      <c r="Z146" s="63">
        <f>9*Z17</f>
        <v>3861</v>
      </c>
      <c r="AA146" s="63"/>
      <c r="AB146" s="63"/>
      <c r="AC146" s="63"/>
      <c r="AD146" s="75">
        <f t="shared" si="303"/>
        <v>3861</v>
      </c>
      <c r="AE146" s="194"/>
      <c r="AF146" s="63">
        <f>9*AF17</f>
        <v>0</v>
      </c>
      <c r="AG146" s="63"/>
      <c r="AH146" s="63"/>
      <c r="AI146" s="63"/>
      <c r="AJ146" s="75">
        <f t="shared" si="304"/>
        <v>0</v>
      </c>
      <c r="AL146" s="63">
        <f>8*AL17</f>
        <v>0</v>
      </c>
      <c r="AM146" s="63"/>
      <c r="AN146" s="63"/>
      <c r="AO146" s="63"/>
      <c r="AP146" s="75">
        <f t="shared" si="305"/>
        <v>0</v>
      </c>
      <c r="AR146" s="75">
        <f t="shared" si="306"/>
        <v>47035.5</v>
      </c>
      <c r="AS146" s="75">
        <f t="shared" si="307"/>
        <v>0</v>
      </c>
      <c r="AT146" s="75">
        <f t="shared" si="308"/>
        <v>0</v>
      </c>
      <c r="AU146" s="75">
        <f t="shared" si="309"/>
        <v>0</v>
      </c>
      <c r="AV146" s="75">
        <f t="shared" si="310"/>
        <v>47035.5</v>
      </c>
    </row>
    <row r="147" spans="1:48" x14ac:dyDescent="0.25">
      <c r="A147" s="32" t="s">
        <v>107</v>
      </c>
      <c r="B147" s="63"/>
      <c r="C147" s="63"/>
      <c r="D147" s="63"/>
      <c r="E147" s="63"/>
      <c r="F147" s="75">
        <f t="shared" si="299"/>
        <v>0</v>
      </c>
      <c r="H147" s="63"/>
      <c r="I147" s="63"/>
      <c r="J147" s="63"/>
      <c r="K147" s="63"/>
      <c r="L147" s="75">
        <f t="shared" si="300"/>
        <v>0</v>
      </c>
      <c r="N147" s="63">
        <v>170000</v>
      </c>
      <c r="O147" s="63"/>
      <c r="P147" s="63"/>
      <c r="Q147" s="63"/>
      <c r="R147" s="75">
        <f t="shared" si="301"/>
        <v>170000</v>
      </c>
      <c r="T147" s="63"/>
      <c r="U147" s="63"/>
      <c r="V147" s="63"/>
      <c r="W147" s="63"/>
      <c r="X147" s="75">
        <f t="shared" si="302"/>
        <v>0</v>
      </c>
      <c r="Y147" s="194"/>
      <c r="Z147" s="63"/>
      <c r="AA147" s="63"/>
      <c r="AB147" s="63"/>
      <c r="AC147" s="63"/>
      <c r="AD147" s="75">
        <f t="shared" si="303"/>
        <v>0</v>
      </c>
      <c r="AE147" s="194"/>
      <c r="AF147" s="63"/>
      <c r="AG147" s="63"/>
      <c r="AH147" s="63"/>
      <c r="AI147" s="63"/>
      <c r="AJ147" s="75">
        <f t="shared" si="304"/>
        <v>0</v>
      </c>
      <c r="AL147" s="63"/>
      <c r="AM147" s="63"/>
      <c r="AN147" s="63"/>
      <c r="AO147" s="63"/>
      <c r="AP147" s="75">
        <f t="shared" si="305"/>
        <v>0</v>
      </c>
      <c r="AR147" s="75">
        <f t="shared" si="306"/>
        <v>170000</v>
      </c>
      <c r="AS147" s="75">
        <f t="shared" si="307"/>
        <v>0</v>
      </c>
      <c r="AT147" s="75">
        <f t="shared" si="308"/>
        <v>0</v>
      </c>
      <c r="AU147" s="75">
        <f t="shared" si="309"/>
        <v>0</v>
      </c>
      <c r="AV147" s="75">
        <f t="shared" si="310"/>
        <v>170000</v>
      </c>
    </row>
    <row r="148" spans="1:48" x14ac:dyDescent="0.25">
      <c r="A148" s="33" t="s">
        <v>108</v>
      </c>
      <c r="B148" s="64">
        <f>56*B17</f>
        <v>57568</v>
      </c>
      <c r="C148" s="64"/>
      <c r="D148" s="64"/>
      <c r="E148" s="64"/>
      <c r="F148" s="75">
        <f t="shared" si="299"/>
        <v>57568</v>
      </c>
      <c r="H148" s="64">
        <f>56*H17</f>
        <v>57568</v>
      </c>
      <c r="I148" s="64"/>
      <c r="J148" s="64"/>
      <c r="K148" s="64"/>
      <c r="L148" s="75">
        <f t="shared" si="300"/>
        <v>57568</v>
      </c>
      <c r="N148" s="64">
        <f>56*N17</f>
        <v>137704</v>
      </c>
      <c r="O148" s="64"/>
      <c r="P148" s="64"/>
      <c r="Q148" s="64"/>
      <c r="R148" s="75">
        <f t="shared" si="301"/>
        <v>137704</v>
      </c>
      <c r="T148" s="64">
        <f>57*T17</f>
        <v>30381</v>
      </c>
      <c r="U148" s="64"/>
      <c r="V148" s="64"/>
      <c r="W148" s="64"/>
      <c r="X148" s="75">
        <f t="shared" si="302"/>
        <v>30381</v>
      </c>
      <c r="Y148" s="194"/>
      <c r="Z148" s="64">
        <f>57*Z17</f>
        <v>24453</v>
      </c>
      <c r="AA148" s="64"/>
      <c r="AB148" s="64"/>
      <c r="AC148" s="64"/>
      <c r="AD148" s="75">
        <f t="shared" si="303"/>
        <v>24453</v>
      </c>
      <c r="AE148" s="194"/>
      <c r="AF148" s="64">
        <f>57*AF17</f>
        <v>0</v>
      </c>
      <c r="AG148" s="64"/>
      <c r="AH148" s="64"/>
      <c r="AI148" s="64"/>
      <c r="AJ148" s="75">
        <f t="shared" si="304"/>
        <v>0</v>
      </c>
      <c r="AL148" s="64">
        <f>50*AL17</f>
        <v>0</v>
      </c>
      <c r="AM148" s="64"/>
      <c r="AN148" s="64"/>
      <c r="AO148" s="64"/>
      <c r="AP148" s="75">
        <f t="shared" si="305"/>
        <v>0</v>
      </c>
      <c r="AR148" s="75">
        <f t="shared" si="306"/>
        <v>307674</v>
      </c>
      <c r="AS148" s="75">
        <f t="shared" si="307"/>
        <v>0</v>
      </c>
      <c r="AT148" s="75">
        <f t="shared" si="308"/>
        <v>0</v>
      </c>
      <c r="AU148" s="75">
        <f t="shared" si="309"/>
        <v>0</v>
      </c>
      <c r="AV148" s="75">
        <f t="shared" si="310"/>
        <v>307674</v>
      </c>
    </row>
    <row r="149" spans="1:48" x14ac:dyDescent="0.25">
      <c r="A149" s="34"/>
      <c r="B149" s="76">
        <f>SUM(B144:B148)</f>
        <v>101515</v>
      </c>
      <c r="C149" s="76">
        <f t="shared" ref="C149:F149" si="311">SUM(C144:C148)</f>
        <v>0</v>
      </c>
      <c r="D149" s="76">
        <f t="shared" si="311"/>
        <v>0</v>
      </c>
      <c r="E149" s="76">
        <f t="shared" si="311"/>
        <v>0</v>
      </c>
      <c r="F149" s="76">
        <f t="shared" si="311"/>
        <v>101515</v>
      </c>
      <c r="H149" s="76">
        <f>SUM(H144:H148)</f>
        <v>101515</v>
      </c>
      <c r="I149" s="76">
        <f t="shared" ref="I149:L149" si="312">SUM(I144:I148)</f>
        <v>0</v>
      </c>
      <c r="J149" s="76">
        <f t="shared" si="312"/>
        <v>0</v>
      </c>
      <c r="K149" s="76">
        <f t="shared" si="312"/>
        <v>0</v>
      </c>
      <c r="L149" s="76">
        <f t="shared" si="312"/>
        <v>101515</v>
      </c>
      <c r="N149" s="76">
        <f>SUM(N144:N148)</f>
        <v>412826.25</v>
      </c>
      <c r="O149" s="76">
        <f t="shared" ref="O149:R149" si="313">SUM(O144:O148)</f>
        <v>0</v>
      </c>
      <c r="P149" s="76">
        <f t="shared" si="313"/>
        <v>0</v>
      </c>
      <c r="Q149" s="76">
        <f t="shared" si="313"/>
        <v>0</v>
      </c>
      <c r="R149" s="76">
        <f t="shared" si="313"/>
        <v>412826.25</v>
      </c>
      <c r="T149" s="76">
        <f>SUM(T144:T148)</f>
        <v>54366</v>
      </c>
      <c r="U149" s="76">
        <f t="shared" ref="U149:X149" si="314">SUM(U144:U148)</f>
        <v>0</v>
      </c>
      <c r="V149" s="76">
        <f t="shared" si="314"/>
        <v>0</v>
      </c>
      <c r="W149" s="76">
        <f t="shared" si="314"/>
        <v>0</v>
      </c>
      <c r="X149" s="76">
        <f t="shared" si="314"/>
        <v>54366</v>
      </c>
      <c r="Y149" s="199"/>
      <c r="Z149" s="76">
        <f>SUM(Z144:Z148)</f>
        <v>43758</v>
      </c>
      <c r="AA149" s="76">
        <f t="shared" ref="AA149:AD149" si="315">SUM(AA144:AA148)</f>
        <v>0</v>
      </c>
      <c r="AB149" s="76">
        <f t="shared" si="315"/>
        <v>0</v>
      </c>
      <c r="AC149" s="76">
        <f t="shared" si="315"/>
        <v>0</v>
      </c>
      <c r="AD149" s="76">
        <f t="shared" si="315"/>
        <v>43758</v>
      </c>
      <c r="AE149" s="199"/>
      <c r="AF149" s="76">
        <f>SUM(AF144:AF148)</f>
        <v>0</v>
      </c>
      <c r="AG149" s="76">
        <f t="shared" ref="AG149:AJ149" si="316">SUM(AG144:AG148)</f>
        <v>0</v>
      </c>
      <c r="AH149" s="76">
        <f t="shared" si="316"/>
        <v>0</v>
      </c>
      <c r="AI149" s="76">
        <f t="shared" si="316"/>
        <v>0</v>
      </c>
      <c r="AJ149" s="76">
        <f t="shared" si="316"/>
        <v>0</v>
      </c>
      <c r="AL149" s="76">
        <f>SUM(AL144:AL148)</f>
        <v>6250</v>
      </c>
      <c r="AM149" s="76">
        <f t="shared" ref="AM149:AP149" si="317">SUM(AM144:AM148)</f>
        <v>0</v>
      </c>
      <c r="AN149" s="76">
        <f t="shared" si="317"/>
        <v>0</v>
      </c>
      <c r="AO149" s="76">
        <f t="shared" si="317"/>
        <v>0</v>
      </c>
      <c r="AP149" s="76">
        <f t="shared" si="317"/>
        <v>6250</v>
      </c>
      <c r="AR149" s="76">
        <f>SUM(AR144:AR148)</f>
        <v>720230.25</v>
      </c>
      <c r="AS149" s="76">
        <f t="shared" ref="AS149:AV149" si="318">SUM(AS144:AS148)</f>
        <v>0</v>
      </c>
      <c r="AT149" s="76">
        <f t="shared" si="318"/>
        <v>0</v>
      </c>
      <c r="AU149" s="76">
        <f t="shared" si="318"/>
        <v>0</v>
      </c>
      <c r="AV149" s="76">
        <f t="shared" si="318"/>
        <v>720230.25</v>
      </c>
    </row>
    <row r="150" spans="1:48" x14ac:dyDescent="0.25">
      <c r="B150" s="77"/>
      <c r="C150" s="77"/>
      <c r="D150" s="77"/>
      <c r="E150" s="77"/>
      <c r="F150" s="77"/>
      <c r="H150" s="77"/>
      <c r="I150" s="77"/>
      <c r="J150" s="77"/>
      <c r="K150" s="77"/>
      <c r="L150" s="77"/>
      <c r="N150" s="77"/>
      <c r="O150" s="77"/>
      <c r="P150" s="77"/>
      <c r="Q150" s="77"/>
      <c r="R150" s="77"/>
      <c r="T150" s="77"/>
      <c r="U150" s="77"/>
      <c r="V150" s="77"/>
      <c r="W150" s="77"/>
      <c r="X150" s="77"/>
      <c r="Y150" s="79"/>
      <c r="Z150" s="77"/>
      <c r="AA150" s="77"/>
      <c r="AB150" s="77"/>
      <c r="AC150" s="77"/>
      <c r="AD150" s="77"/>
      <c r="AE150" s="79"/>
      <c r="AF150" s="77"/>
      <c r="AG150" s="77"/>
      <c r="AH150" s="77"/>
      <c r="AI150" s="77"/>
      <c r="AJ150" s="77"/>
      <c r="AL150" s="77"/>
      <c r="AM150" s="77"/>
      <c r="AN150" s="77"/>
      <c r="AO150" s="77"/>
      <c r="AP150" s="77"/>
      <c r="AR150" s="77"/>
      <c r="AS150" s="77"/>
      <c r="AT150" s="77"/>
      <c r="AU150" s="77"/>
      <c r="AV150" s="77"/>
    </row>
    <row r="151" spans="1:48" x14ac:dyDescent="0.25">
      <c r="A151" s="28"/>
      <c r="B151" s="78" t="s">
        <v>157</v>
      </c>
      <c r="C151" s="78" t="s">
        <v>158</v>
      </c>
      <c r="D151" s="78" t="s">
        <v>159</v>
      </c>
      <c r="E151" s="78" t="str">
        <f>E134</f>
        <v>Other</v>
      </c>
      <c r="F151" s="78" t="str">
        <f>F134</f>
        <v>FY27- Mtn</v>
      </c>
      <c r="H151" s="78" t="s">
        <v>157</v>
      </c>
      <c r="I151" s="78" t="s">
        <v>158</v>
      </c>
      <c r="J151" s="78" t="s">
        <v>159</v>
      </c>
      <c r="K151" s="78" t="str">
        <f>K134</f>
        <v>Other</v>
      </c>
      <c r="L151" s="78" t="str">
        <f>L134</f>
        <v>FY27- Bon</v>
      </c>
      <c r="N151" s="78" t="s">
        <v>157</v>
      </c>
      <c r="O151" s="78" t="s">
        <v>158</v>
      </c>
      <c r="P151" s="78" t="s">
        <v>159</v>
      </c>
      <c r="Q151" s="78" t="str">
        <f>Q134</f>
        <v>Other</v>
      </c>
      <c r="R151" s="78" t="str">
        <f>R134</f>
        <v>FY27- East</v>
      </c>
      <c r="T151" s="78" t="s">
        <v>157</v>
      </c>
      <c r="U151" s="78" t="s">
        <v>158</v>
      </c>
      <c r="V151" s="78" t="s">
        <v>159</v>
      </c>
      <c r="W151" s="78" t="str">
        <f>W134</f>
        <v>Other</v>
      </c>
      <c r="X151" s="78" t="str">
        <f>X134</f>
        <v>FY27- Cactus</v>
      </c>
      <c r="Y151" s="201"/>
      <c r="Z151" s="78" t="s">
        <v>157</v>
      </c>
      <c r="AA151" s="78" t="s">
        <v>158</v>
      </c>
      <c r="AB151" s="78" t="s">
        <v>159</v>
      </c>
      <c r="AC151" s="78" t="str">
        <f>AC134</f>
        <v>Other</v>
      </c>
      <c r="AD151" s="78" t="str">
        <f>AD134</f>
        <v>FY27- Sahara</v>
      </c>
      <c r="AE151" s="201"/>
      <c r="AF151" s="78" t="s">
        <v>157</v>
      </c>
      <c r="AG151" s="78" t="s">
        <v>158</v>
      </c>
      <c r="AH151" s="78" t="s">
        <v>159</v>
      </c>
      <c r="AI151" s="78" t="str">
        <f>AI134</f>
        <v>Other</v>
      </c>
      <c r="AJ151" s="78" t="str">
        <f>AJ134</f>
        <v>FY27- VV</v>
      </c>
      <c r="AL151" s="78" t="s">
        <v>157</v>
      </c>
      <c r="AM151" s="78" t="s">
        <v>158</v>
      </c>
      <c r="AN151" s="78" t="s">
        <v>159</v>
      </c>
      <c r="AO151" s="78" t="str">
        <f>AO134</f>
        <v>Grant</v>
      </c>
      <c r="AP151" s="78" t="str">
        <f>AP134</f>
        <v>FY27 - Central</v>
      </c>
      <c r="AR151" s="78" t="s">
        <v>157</v>
      </c>
      <c r="AS151" s="78" t="s">
        <v>158</v>
      </c>
      <c r="AT151" s="78" t="s">
        <v>159</v>
      </c>
      <c r="AU151" s="78" t="str">
        <f>AU134</f>
        <v>Other</v>
      </c>
      <c r="AV151" s="78" t="str">
        <f>AV134</f>
        <v>FY27- Sys</v>
      </c>
    </row>
    <row r="152" spans="1:48" x14ac:dyDescent="0.25">
      <c r="A152" s="35" t="s">
        <v>109</v>
      </c>
      <c r="B152" s="75">
        <f>(6500*2)*1.02</f>
        <v>13260</v>
      </c>
      <c r="C152" s="75"/>
      <c r="D152" s="75"/>
      <c r="E152" s="75"/>
      <c r="F152" s="75">
        <f>SUM(B152:E152)</f>
        <v>13260</v>
      </c>
      <c r="H152" s="75">
        <f>(6500*2)*1.01</f>
        <v>13130</v>
      </c>
      <c r="I152" s="75"/>
      <c r="J152" s="75"/>
      <c r="K152" s="75"/>
      <c r="L152" s="75">
        <f>SUM(H152:K152)</f>
        <v>13130</v>
      </c>
      <c r="N152" s="75">
        <f>((6500*3)+5000)*1.03</f>
        <v>25235</v>
      </c>
      <c r="O152" s="75"/>
      <c r="P152" s="75"/>
      <c r="Q152" s="75"/>
      <c r="R152" s="75">
        <f>SUM(N152:Q152)</f>
        <v>25235</v>
      </c>
      <c r="T152" s="60">
        <v>6500</v>
      </c>
      <c r="U152" s="75"/>
      <c r="V152" s="75"/>
      <c r="W152" s="75"/>
      <c r="X152" s="75">
        <f>SUM(T152:W152)</f>
        <v>6500</v>
      </c>
      <c r="Y152" s="194"/>
      <c r="Z152" s="60">
        <f>6500</f>
        <v>6500</v>
      </c>
      <c r="AA152" s="75"/>
      <c r="AB152" s="75"/>
      <c r="AC152" s="75"/>
      <c r="AD152" s="75">
        <f>SUM(Z152:AC152)</f>
        <v>6500</v>
      </c>
      <c r="AE152" s="194"/>
      <c r="AF152" s="60">
        <v>0</v>
      </c>
      <c r="AG152" s="75"/>
      <c r="AH152" s="75"/>
      <c r="AI152" s="75"/>
      <c r="AJ152" s="75">
        <f>SUM(AF152:AI152)</f>
        <v>0</v>
      </c>
      <c r="AL152" s="60">
        <v>0</v>
      </c>
      <c r="AM152" s="75"/>
      <c r="AN152" s="75"/>
      <c r="AO152" s="75">
        <v>6500</v>
      </c>
      <c r="AP152" s="75">
        <f>SUM(AL152:AO152)</f>
        <v>6500</v>
      </c>
      <c r="AR152" s="60">
        <f>B152+H152+N152+T152+AL152+AF152+Z152</f>
        <v>64625</v>
      </c>
      <c r="AS152" s="60">
        <f t="shared" ref="AS152:AU152" si="319">C152+I152+O152+U152+AM152+AG152+AA152</f>
        <v>0</v>
      </c>
      <c r="AT152" s="60">
        <f t="shared" si="319"/>
        <v>0</v>
      </c>
      <c r="AU152" s="60">
        <f t="shared" si="319"/>
        <v>6500</v>
      </c>
      <c r="AV152" s="75">
        <f>SUM(AR152:AU152)</f>
        <v>71125</v>
      </c>
    </row>
    <row r="153" spans="1:48" x14ac:dyDescent="0.25">
      <c r="A153" s="32" t="s">
        <v>110</v>
      </c>
      <c r="B153" s="63"/>
      <c r="C153" s="63">
        <f>(77*B17)</f>
        <v>79156</v>
      </c>
      <c r="D153" s="63"/>
      <c r="E153" s="63"/>
      <c r="F153" s="75">
        <f t="shared" ref="F153:F158" si="320">SUM(B153:E153)</f>
        <v>79156</v>
      </c>
      <c r="H153" s="63"/>
      <c r="I153" s="63">
        <f>(77*H17)</f>
        <v>79156</v>
      </c>
      <c r="J153" s="63"/>
      <c r="K153" s="63"/>
      <c r="L153" s="75">
        <f t="shared" ref="L153:L158" si="321">SUM(H153:K153)</f>
        <v>79156</v>
      </c>
      <c r="N153" s="63"/>
      <c r="O153" s="63">
        <f>(77*N17)</f>
        <v>189343</v>
      </c>
      <c r="P153" s="63"/>
      <c r="Q153" s="63"/>
      <c r="R153" s="75">
        <f t="shared" ref="R153:R158" si="322">SUM(N153:Q153)</f>
        <v>189343</v>
      </c>
      <c r="T153" s="63"/>
      <c r="U153" s="61">
        <f>(220*T17)</f>
        <v>117260</v>
      </c>
      <c r="V153" s="63"/>
      <c r="W153" s="63"/>
      <c r="X153" s="75">
        <f t="shared" ref="X153:X158" si="323">SUM(T153:W153)</f>
        <v>117260</v>
      </c>
      <c r="Y153" s="194"/>
      <c r="Z153" s="63"/>
      <c r="AA153" s="61">
        <f>(220*Z17)</f>
        <v>94380</v>
      </c>
      <c r="AB153" s="63"/>
      <c r="AC153" s="63"/>
      <c r="AD153" s="75">
        <f t="shared" ref="AD153:AD158" si="324">SUM(Z153:AC153)</f>
        <v>94380</v>
      </c>
      <c r="AE153" s="194"/>
      <c r="AF153" s="63"/>
      <c r="AG153" s="61">
        <f>(220*AF17)</f>
        <v>0</v>
      </c>
      <c r="AH153" s="63"/>
      <c r="AI153" s="63"/>
      <c r="AJ153" s="75">
        <f t="shared" ref="AJ153:AJ158" si="325">SUM(AF153:AI153)</f>
        <v>0</v>
      </c>
      <c r="AL153" s="63"/>
      <c r="AM153" s="63"/>
      <c r="AN153" s="63"/>
      <c r="AO153" s="63"/>
      <c r="AP153" s="75">
        <f t="shared" ref="AP153:AP158" si="326">SUM(AL153:AO153)</f>
        <v>0</v>
      </c>
      <c r="AR153" s="60">
        <f t="shared" ref="AR153:AR158" si="327">B153+H153+N153+T153+AL153+AF153+Z153</f>
        <v>0</v>
      </c>
      <c r="AS153" s="60">
        <f t="shared" ref="AS153:AS158" si="328">C153+I153+O153+U153+AM153+AG153+AA153</f>
        <v>559295</v>
      </c>
      <c r="AT153" s="60">
        <f t="shared" ref="AT153:AT158" si="329">D153+J153+P153+V153+AN153+AH153+AB153</f>
        <v>0</v>
      </c>
      <c r="AU153" s="60">
        <f t="shared" ref="AU153:AU158" si="330">E153+K153+Q153+W153+AO153+AI153+AC153</f>
        <v>0</v>
      </c>
      <c r="AV153" s="75">
        <f t="shared" ref="AV153:AV158" si="331">SUM(AR153:AU153)</f>
        <v>559295</v>
      </c>
    </row>
    <row r="154" spans="1:48" x14ac:dyDescent="0.25">
      <c r="A154" s="32" t="s">
        <v>111</v>
      </c>
      <c r="B154" s="63">
        <f>(210*11*B36)-B124</f>
        <v>39150</v>
      </c>
      <c r="C154" s="63">
        <f>(210*11*C36)-C124</f>
        <v>11550</v>
      </c>
      <c r="D154" s="63">
        <f>(195*11*D36)-D124</f>
        <v>0</v>
      </c>
      <c r="E154" s="63">
        <f>(195*11*E36)-E124</f>
        <v>0</v>
      </c>
      <c r="F154" s="75">
        <f t="shared" si="320"/>
        <v>50700</v>
      </c>
      <c r="H154" s="63">
        <f>(210*11*H36)-H124</f>
        <v>71550</v>
      </c>
      <c r="I154" s="63">
        <f>(210*11*I36)-I124</f>
        <v>9240</v>
      </c>
      <c r="J154" s="63">
        <f>(195*11*J36)-J124</f>
        <v>0</v>
      </c>
      <c r="K154" s="63">
        <f>(195*11*K36)-K124</f>
        <v>0</v>
      </c>
      <c r="L154" s="75">
        <f t="shared" si="321"/>
        <v>80790</v>
      </c>
      <c r="N154" s="63">
        <f>(210*11*N36)-N124</f>
        <v>133800</v>
      </c>
      <c r="O154" s="63">
        <f>(210*11*O36)-O124</f>
        <v>32340</v>
      </c>
      <c r="P154" s="63">
        <f>(195*11*P36)-P124</f>
        <v>0</v>
      </c>
      <c r="Q154" s="63">
        <f>(195*11*Q36)-Q124</f>
        <v>0</v>
      </c>
      <c r="R154" s="75">
        <f t="shared" si="322"/>
        <v>166140</v>
      </c>
      <c r="T154" s="63">
        <f>(200*11*T36)-T124</f>
        <v>50600</v>
      </c>
      <c r="U154" s="63">
        <f>(200*11*U36)-U124</f>
        <v>6600</v>
      </c>
      <c r="V154" s="63">
        <f>(195*11*V36)-V124</f>
        <v>0</v>
      </c>
      <c r="W154" s="63">
        <f>(195*11*W36)-W124</f>
        <v>0</v>
      </c>
      <c r="X154" s="75">
        <f t="shared" si="323"/>
        <v>57200</v>
      </c>
      <c r="Y154" s="194"/>
      <c r="Z154" s="63">
        <f>(200*11*Z36)-Z124</f>
        <v>40700</v>
      </c>
      <c r="AA154" s="63">
        <f>(200*11*AA36)-AA124</f>
        <v>3300</v>
      </c>
      <c r="AB154" s="63">
        <f>(195*11*AB36)-AB124</f>
        <v>0</v>
      </c>
      <c r="AC154" s="63">
        <f>(195*11*AC36)-AC124</f>
        <v>0</v>
      </c>
      <c r="AD154" s="75">
        <f t="shared" si="324"/>
        <v>44000</v>
      </c>
      <c r="AE154" s="194"/>
      <c r="AF154" s="63">
        <f>(200*11*AF36)-AF124</f>
        <v>0</v>
      </c>
      <c r="AG154" s="63">
        <f>(200*11*AG36)-AG124</f>
        <v>0</v>
      </c>
      <c r="AH154" s="63">
        <f>(195*11*AH36)-AH124</f>
        <v>0</v>
      </c>
      <c r="AI154" s="63">
        <f>(195*11*AI36)-AI124</f>
        <v>0</v>
      </c>
      <c r="AJ154" s="75">
        <f t="shared" si="325"/>
        <v>0</v>
      </c>
      <c r="AL154" s="63"/>
      <c r="AM154" s="63"/>
      <c r="AN154" s="63"/>
      <c r="AO154" s="63"/>
      <c r="AP154" s="75">
        <f t="shared" si="326"/>
        <v>0</v>
      </c>
      <c r="AR154" s="60">
        <f t="shared" si="327"/>
        <v>335800</v>
      </c>
      <c r="AS154" s="60">
        <f t="shared" si="328"/>
        <v>63030</v>
      </c>
      <c r="AT154" s="60">
        <f t="shared" si="329"/>
        <v>0</v>
      </c>
      <c r="AU154" s="60">
        <f t="shared" si="330"/>
        <v>0</v>
      </c>
      <c r="AV154" s="75">
        <f t="shared" si="331"/>
        <v>398830</v>
      </c>
    </row>
    <row r="155" spans="1:48" x14ac:dyDescent="0.25">
      <c r="A155" s="32" t="s">
        <v>112</v>
      </c>
      <c r="B155" s="63"/>
      <c r="C155" s="63"/>
      <c r="D155" s="63"/>
      <c r="E155" s="63"/>
      <c r="F155" s="75">
        <f t="shared" si="320"/>
        <v>0</v>
      </c>
      <c r="H155" s="63"/>
      <c r="I155" s="63"/>
      <c r="J155" s="63"/>
      <c r="K155" s="63"/>
      <c r="L155" s="75">
        <f t="shared" si="321"/>
        <v>0</v>
      </c>
      <c r="N155" s="63"/>
      <c r="O155" s="63"/>
      <c r="P155" s="63"/>
      <c r="Q155" s="63"/>
      <c r="R155" s="75">
        <f t="shared" si="322"/>
        <v>0</v>
      </c>
      <c r="T155" s="63"/>
      <c r="U155" s="63"/>
      <c r="V155" s="63"/>
      <c r="W155" s="63"/>
      <c r="X155" s="75">
        <f t="shared" si="323"/>
        <v>0</v>
      </c>
      <c r="Y155" s="194"/>
      <c r="Z155" s="63"/>
      <c r="AA155" s="63"/>
      <c r="AB155" s="63"/>
      <c r="AC155" s="63"/>
      <c r="AD155" s="75">
        <f t="shared" si="324"/>
        <v>0</v>
      </c>
      <c r="AE155" s="194"/>
      <c r="AF155" s="63"/>
      <c r="AG155" s="63"/>
      <c r="AH155" s="63"/>
      <c r="AI155" s="63"/>
      <c r="AJ155" s="75">
        <f t="shared" si="325"/>
        <v>0</v>
      </c>
      <c r="AL155" s="63"/>
      <c r="AM155" s="63"/>
      <c r="AN155" s="63"/>
      <c r="AO155" s="63"/>
      <c r="AP155" s="75">
        <f t="shared" si="326"/>
        <v>0</v>
      </c>
      <c r="AR155" s="60">
        <f t="shared" si="327"/>
        <v>0</v>
      </c>
      <c r="AS155" s="60">
        <f t="shared" si="328"/>
        <v>0</v>
      </c>
      <c r="AT155" s="60">
        <f t="shared" si="329"/>
        <v>0</v>
      </c>
      <c r="AU155" s="60">
        <f t="shared" si="330"/>
        <v>0</v>
      </c>
      <c r="AV155" s="75">
        <f t="shared" si="331"/>
        <v>0</v>
      </c>
    </row>
    <row r="156" spans="1:48" x14ac:dyDescent="0.25">
      <c r="A156" s="32" t="s">
        <v>113</v>
      </c>
      <c r="B156" s="63">
        <f>B68*0.005</f>
        <v>48758.04</v>
      </c>
      <c r="C156" s="63"/>
      <c r="D156" s="63"/>
      <c r="E156" s="63"/>
      <c r="F156" s="75">
        <f t="shared" si="320"/>
        <v>48758.04</v>
      </c>
      <c r="H156" s="63">
        <f>H68*0.005</f>
        <v>48758.04</v>
      </c>
      <c r="I156" s="63"/>
      <c r="J156" s="63"/>
      <c r="K156" s="63"/>
      <c r="L156" s="75">
        <f t="shared" si="321"/>
        <v>48758.04</v>
      </c>
      <c r="N156" s="63">
        <f>N68*0.005</f>
        <v>116630.37</v>
      </c>
      <c r="O156" s="63"/>
      <c r="P156" s="63"/>
      <c r="Q156" s="63"/>
      <c r="R156" s="75">
        <f t="shared" si="322"/>
        <v>116630.37</v>
      </c>
      <c r="T156" s="63">
        <f>T68*0.005</f>
        <v>25280.190000000002</v>
      </c>
      <c r="U156" s="63"/>
      <c r="V156" s="63"/>
      <c r="W156" s="63"/>
      <c r="X156" s="75">
        <f t="shared" si="323"/>
        <v>25280.190000000002</v>
      </c>
      <c r="Y156" s="194"/>
      <c r="Z156" s="63">
        <f>Z68*0.005</f>
        <v>20347.47</v>
      </c>
      <c r="AA156" s="63"/>
      <c r="AB156" s="63"/>
      <c r="AC156" s="63"/>
      <c r="AD156" s="75">
        <f t="shared" si="324"/>
        <v>20347.47</v>
      </c>
      <c r="AE156" s="194"/>
      <c r="AF156" s="63">
        <f>AF68*0.005</f>
        <v>0</v>
      </c>
      <c r="AG156" s="63"/>
      <c r="AH156" s="63"/>
      <c r="AI156" s="63"/>
      <c r="AJ156" s="75">
        <f t="shared" si="325"/>
        <v>0</v>
      </c>
      <c r="AL156" s="63"/>
      <c r="AM156" s="63"/>
      <c r="AN156" s="63"/>
      <c r="AO156" s="63"/>
      <c r="AP156" s="75">
        <f t="shared" si="326"/>
        <v>0</v>
      </c>
      <c r="AR156" s="60">
        <f t="shared" si="327"/>
        <v>259774.11000000002</v>
      </c>
      <c r="AS156" s="60">
        <f t="shared" si="328"/>
        <v>0</v>
      </c>
      <c r="AT156" s="60">
        <f t="shared" si="329"/>
        <v>0</v>
      </c>
      <c r="AU156" s="60">
        <f t="shared" si="330"/>
        <v>0</v>
      </c>
      <c r="AV156" s="75">
        <f t="shared" si="331"/>
        <v>259774.11000000002</v>
      </c>
    </row>
    <row r="157" spans="1:48" x14ac:dyDescent="0.25">
      <c r="A157" s="32" t="s">
        <v>114</v>
      </c>
      <c r="B157" s="63">
        <f>(B68*0.005)</f>
        <v>48758.04</v>
      </c>
      <c r="C157" s="63"/>
      <c r="D157" s="63"/>
      <c r="E157" s="63"/>
      <c r="F157" s="75">
        <f t="shared" si="320"/>
        <v>48758.04</v>
      </c>
      <c r="H157" s="63">
        <f>(H68*0.005)</f>
        <v>48758.04</v>
      </c>
      <c r="I157" s="63"/>
      <c r="J157" s="63"/>
      <c r="K157" s="63"/>
      <c r="L157" s="75">
        <f t="shared" si="321"/>
        <v>48758.04</v>
      </c>
      <c r="N157" s="63">
        <f>(N68*0.005)</f>
        <v>116630.37</v>
      </c>
      <c r="O157" s="63"/>
      <c r="P157" s="63"/>
      <c r="Q157" s="63"/>
      <c r="R157" s="75">
        <f t="shared" si="322"/>
        <v>116630.37</v>
      </c>
      <c r="T157" s="63">
        <f>(T68*0.005)</f>
        <v>25280.190000000002</v>
      </c>
      <c r="U157" s="63"/>
      <c r="V157" s="63"/>
      <c r="W157" s="63"/>
      <c r="X157" s="75">
        <f t="shared" si="323"/>
        <v>25280.190000000002</v>
      </c>
      <c r="Y157" s="194"/>
      <c r="Z157" s="63">
        <f>(Z68*0.005)</f>
        <v>20347.47</v>
      </c>
      <c r="AA157" s="63"/>
      <c r="AB157" s="63"/>
      <c r="AC157" s="63"/>
      <c r="AD157" s="75">
        <f t="shared" si="324"/>
        <v>20347.47</v>
      </c>
      <c r="AE157" s="194"/>
      <c r="AF157" s="63">
        <f>(AF68*0.005)</f>
        <v>0</v>
      </c>
      <c r="AG157" s="63"/>
      <c r="AH157" s="63"/>
      <c r="AI157" s="63"/>
      <c r="AJ157" s="75">
        <f t="shared" si="325"/>
        <v>0</v>
      </c>
      <c r="AL157" s="63"/>
      <c r="AM157" s="63"/>
      <c r="AN157" s="63"/>
      <c r="AO157" s="63"/>
      <c r="AP157" s="75">
        <f t="shared" si="326"/>
        <v>0</v>
      </c>
      <c r="AR157" s="60">
        <f t="shared" si="327"/>
        <v>259774.11000000002</v>
      </c>
      <c r="AS157" s="60">
        <f t="shared" si="328"/>
        <v>0</v>
      </c>
      <c r="AT157" s="60">
        <f t="shared" si="329"/>
        <v>0</v>
      </c>
      <c r="AU157" s="60">
        <f t="shared" si="330"/>
        <v>0</v>
      </c>
      <c r="AV157" s="75">
        <f t="shared" si="331"/>
        <v>259774.11000000002</v>
      </c>
    </row>
    <row r="158" spans="1:48" x14ac:dyDescent="0.25">
      <c r="A158" s="33" t="s">
        <v>115</v>
      </c>
      <c r="B158" s="64"/>
      <c r="C158" s="64"/>
      <c r="D158" s="64"/>
      <c r="E158" s="64"/>
      <c r="F158" s="75">
        <f t="shared" si="320"/>
        <v>0</v>
      </c>
      <c r="H158" s="64"/>
      <c r="I158" s="64"/>
      <c r="J158" s="64"/>
      <c r="K158" s="64"/>
      <c r="L158" s="75">
        <f t="shared" si="321"/>
        <v>0</v>
      </c>
      <c r="N158" s="64"/>
      <c r="O158" s="64"/>
      <c r="P158" s="64"/>
      <c r="Q158" s="64"/>
      <c r="R158" s="75">
        <f t="shared" si="322"/>
        <v>0</v>
      </c>
      <c r="T158" s="64"/>
      <c r="U158" s="64"/>
      <c r="V158" s="64"/>
      <c r="W158" s="64"/>
      <c r="X158" s="75">
        <f t="shared" si="323"/>
        <v>0</v>
      </c>
      <c r="Y158" s="194"/>
      <c r="Z158" s="64"/>
      <c r="AA158" s="64"/>
      <c r="AB158" s="64"/>
      <c r="AC158" s="64"/>
      <c r="AD158" s="75">
        <f t="shared" si="324"/>
        <v>0</v>
      </c>
      <c r="AE158" s="194"/>
      <c r="AF158" s="64"/>
      <c r="AG158" s="64"/>
      <c r="AH158" s="64"/>
      <c r="AI158" s="64"/>
      <c r="AJ158" s="75">
        <f t="shared" si="325"/>
        <v>0</v>
      </c>
      <c r="AL158" s="64"/>
      <c r="AM158" s="64"/>
      <c r="AN158" s="64"/>
      <c r="AO158" s="64"/>
      <c r="AP158" s="75">
        <f t="shared" si="326"/>
        <v>0</v>
      </c>
      <c r="AR158" s="60">
        <f t="shared" si="327"/>
        <v>0</v>
      </c>
      <c r="AS158" s="60">
        <f t="shared" si="328"/>
        <v>0</v>
      </c>
      <c r="AT158" s="60">
        <f t="shared" si="329"/>
        <v>0</v>
      </c>
      <c r="AU158" s="60">
        <f t="shared" si="330"/>
        <v>0</v>
      </c>
      <c r="AV158" s="75">
        <f t="shared" si="331"/>
        <v>0</v>
      </c>
    </row>
    <row r="159" spans="1:48" x14ac:dyDescent="0.25">
      <c r="A159" s="34"/>
      <c r="B159" s="76">
        <f>SUM(B152:B158)</f>
        <v>149926.08000000002</v>
      </c>
      <c r="C159" s="76">
        <f t="shared" ref="C159:F159" si="332">SUM(C152:C158)</f>
        <v>90706</v>
      </c>
      <c r="D159" s="76">
        <f t="shared" si="332"/>
        <v>0</v>
      </c>
      <c r="E159" s="76">
        <f t="shared" si="332"/>
        <v>0</v>
      </c>
      <c r="F159" s="76">
        <f t="shared" si="332"/>
        <v>240632.08000000002</v>
      </c>
      <c r="H159" s="76">
        <f>SUM(H152:H158)</f>
        <v>182196.08000000002</v>
      </c>
      <c r="I159" s="76">
        <f t="shared" ref="I159:L159" si="333">SUM(I152:I158)</f>
        <v>88396</v>
      </c>
      <c r="J159" s="76">
        <f t="shared" si="333"/>
        <v>0</v>
      </c>
      <c r="K159" s="76">
        <f t="shared" si="333"/>
        <v>0</v>
      </c>
      <c r="L159" s="76">
        <f t="shared" si="333"/>
        <v>270592.08</v>
      </c>
      <c r="N159" s="76">
        <f>SUM(N152:N158)</f>
        <v>392295.74</v>
      </c>
      <c r="O159" s="76">
        <f t="shared" ref="O159:R159" si="334">SUM(O152:O158)</f>
        <v>221683</v>
      </c>
      <c r="P159" s="76">
        <f t="shared" si="334"/>
        <v>0</v>
      </c>
      <c r="Q159" s="76">
        <f t="shared" si="334"/>
        <v>0</v>
      </c>
      <c r="R159" s="76">
        <f t="shared" si="334"/>
        <v>613978.74</v>
      </c>
      <c r="T159" s="76">
        <f t="shared" ref="T159:W159" si="335">SUM(T152:T158)</f>
        <v>107660.38</v>
      </c>
      <c r="U159" s="76">
        <f t="shared" si="335"/>
        <v>123860</v>
      </c>
      <c r="V159" s="76">
        <f t="shared" si="335"/>
        <v>0</v>
      </c>
      <c r="W159" s="76">
        <f t="shared" si="335"/>
        <v>0</v>
      </c>
      <c r="X159" s="76">
        <f t="shared" ref="X159" si="336">SUM(X152:X158)</f>
        <v>231520.38</v>
      </c>
      <c r="Y159" s="199"/>
      <c r="Z159" s="76">
        <f t="shared" ref="Z159:AD159" si="337">SUM(Z152:Z158)</f>
        <v>87894.94</v>
      </c>
      <c r="AA159" s="76">
        <f t="shared" si="337"/>
        <v>97680</v>
      </c>
      <c r="AB159" s="76">
        <f t="shared" si="337"/>
        <v>0</v>
      </c>
      <c r="AC159" s="76">
        <f t="shared" si="337"/>
        <v>0</v>
      </c>
      <c r="AD159" s="76">
        <f t="shared" si="337"/>
        <v>185574.94</v>
      </c>
      <c r="AE159" s="199"/>
      <c r="AF159" s="76">
        <f t="shared" ref="AF159:AJ159" si="338">SUM(AF152:AF158)</f>
        <v>0</v>
      </c>
      <c r="AG159" s="76">
        <f t="shared" si="338"/>
        <v>0</v>
      </c>
      <c r="AH159" s="76">
        <f t="shared" si="338"/>
        <v>0</v>
      </c>
      <c r="AI159" s="76">
        <f t="shared" si="338"/>
        <v>0</v>
      </c>
      <c r="AJ159" s="76">
        <f t="shared" si="338"/>
        <v>0</v>
      </c>
      <c r="AL159" s="76">
        <f>SUM(AL152:AL158)</f>
        <v>0</v>
      </c>
      <c r="AM159" s="76">
        <f t="shared" ref="AM159:AO159" si="339">SUM(AM152:AM158)</f>
        <v>0</v>
      </c>
      <c r="AN159" s="76">
        <f t="shared" si="339"/>
        <v>0</v>
      </c>
      <c r="AO159" s="76">
        <f t="shared" si="339"/>
        <v>6500</v>
      </c>
      <c r="AP159" s="76">
        <f t="shared" ref="AP159" si="340">SUM(AP152:AP158)</f>
        <v>6500</v>
      </c>
      <c r="AR159" s="76">
        <f>SUM(AR152:AR158)</f>
        <v>919973.22</v>
      </c>
      <c r="AS159" s="76">
        <f t="shared" ref="AS159:AV159" si="341">SUM(AS152:AS158)</f>
        <v>622325</v>
      </c>
      <c r="AT159" s="76">
        <f t="shared" si="341"/>
        <v>0</v>
      </c>
      <c r="AU159" s="76">
        <f t="shared" si="341"/>
        <v>6500</v>
      </c>
      <c r="AV159" s="76">
        <f t="shared" si="341"/>
        <v>1548798.2200000002</v>
      </c>
    </row>
    <row r="160" spans="1:48" x14ac:dyDescent="0.25">
      <c r="B160" s="77"/>
      <c r="C160" s="77"/>
      <c r="D160" s="77"/>
      <c r="E160" s="77"/>
      <c r="F160" s="77"/>
      <c r="H160" s="77"/>
      <c r="I160" s="77"/>
      <c r="J160" s="77"/>
      <c r="K160" s="77"/>
      <c r="L160" s="77"/>
      <c r="N160" s="77"/>
      <c r="O160" s="77"/>
      <c r="P160" s="77"/>
      <c r="Q160" s="77"/>
      <c r="R160" s="77"/>
      <c r="T160" s="77"/>
      <c r="U160" s="77"/>
      <c r="V160" s="77"/>
      <c r="W160" s="77"/>
      <c r="X160" s="77"/>
      <c r="Y160" s="79"/>
      <c r="Z160" s="77"/>
      <c r="AA160" s="77"/>
      <c r="AB160" s="77"/>
      <c r="AC160" s="77"/>
      <c r="AD160" s="77"/>
      <c r="AE160" s="79"/>
      <c r="AF160" s="77"/>
      <c r="AG160" s="77"/>
      <c r="AH160" s="77"/>
      <c r="AI160" s="77"/>
      <c r="AJ160" s="77"/>
      <c r="AL160" s="77"/>
      <c r="AM160" s="77"/>
      <c r="AN160" s="77"/>
      <c r="AO160" s="77"/>
      <c r="AP160" s="77"/>
      <c r="AR160" s="77"/>
      <c r="AS160" s="77"/>
      <c r="AT160" s="77"/>
      <c r="AU160" s="77"/>
      <c r="AV160" s="77"/>
    </row>
    <row r="161" spans="1:48" x14ac:dyDescent="0.25">
      <c r="A161" s="28"/>
      <c r="B161" s="78" t="s">
        <v>157</v>
      </c>
      <c r="C161" s="78" t="s">
        <v>158</v>
      </c>
      <c r="D161" s="78" t="s">
        <v>159</v>
      </c>
      <c r="E161" s="78" t="str">
        <f>E151</f>
        <v>Other</v>
      </c>
      <c r="F161" s="78" t="str">
        <f>F151</f>
        <v>FY27- Mtn</v>
      </c>
      <c r="H161" s="78" t="s">
        <v>157</v>
      </c>
      <c r="I161" s="78" t="s">
        <v>158</v>
      </c>
      <c r="J161" s="78" t="s">
        <v>159</v>
      </c>
      <c r="K161" s="78" t="str">
        <f>K151</f>
        <v>Other</v>
      </c>
      <c r="L161" s="78" t="str">
        <f>L151</f>
        <v>FY27- Bon</v>
      </c>
      <c r="N161" s="78" t="s">
        <v>157</v>
      </c>
      <c r="O161" s="78" t="s">
        <v>158</v>
      </c>
      <c r="P161" s="78" t="s">
        <v>159</v>
      </c>
      <c r="Q161" s="78" t="str">
        <f>Q151</f>
        <v>Other</v>
      </c>
      <c r="R161" s="78" t="str">
        <f>R151</f>
        <v>FY27- East</v>
      </c>
      <c r="T161" s="78" t="s">
        <v>157</v>
      </c>
      <c r="U161" s="78" t="s">
        <v>158</v>
      </c>
      <c r="V161" s="78" t="s">
        <v>159</v>
      </c>
      <c r="W161" s="78" t="str">
        <f>W151</f>
        <v>Other</v>
      </c>
      <c r="X161" s="78" t="str">
        <f>X151</f>
        <v>FY27- Cactus</v>
      </c>
      <c r="Y161" s="201"/>
      <c r="Z161" s="78" t="s">
        <v>157</v>
      </c>
      <c r="AA161" s="78" t="s">
        <v>158</v>
      </c>
      <c r="AB161" s="78" t="s">
        <v>159</v>
      </c>
      <c r="AC161" s="78" t="str">
        <f>AC151</f>
        <v>Other</v>
      </c>
      <c r="AD161" s="78" t="str">
        <f>AD151</f>
        <v>FY27- Sahara</v>
      </c>
      <c r="AE161" s="201"/>
      <c r="AF161" s="78" t="s">
        <v>157</v>
      </c>
      <c r="AG161" s="78" t="s">
        <v>158</v>
      </c>
      <c r="AH161" s="78" t="s">
        <v>159</v>
      </c>
      <c r="AI161" s="78" t="str">
        <f>AI151</f>
        <v>Other</v>
      </c>
      <c r="AJ161" s="78" t="str">
        <f>AJ151</f>
        <v>FY27- VV</v>
      </c>
      <c r="AL161" s="78" t="s">
        <v>157</v>
      </c>
      <c r="AM161" s="78" t="s">
        <v>158</v>
      </c>
      <c r="AN161" s="78" t="s">
        <v>159</v>
      </c>
      <c r="AO161" s="78" t="str">
        <f>AO151</f>
        <v>Grant</v>
      </c>
      <c r="AP161" s="78" t="str">
        <f>AP151</f>
        <v>FY27 - Central</v>
      </c>
      <c r="AR161" s="78" t="s">
        <v>157</v>
      </c>
      <c r="AS161" s="78" t="s">
        <v>158</v>
      </c>
      <c r="AT161" s="78" t="s">
        <v>159</v>
      </c>
      <c r="AU161" s="78" t="str">
        <f>AU151</f>
        <v>Other</v>
      </c>
      <c r="AV161" s="78" t="str">
        <f>AV151</f>
        <v>FY27- Sys</v>
      </c>
    </row>
    <row r="162" spans="1:48" x14ac:dyDescent="0.25">
      <c r="A162" s="35" t="s">
        <v>109</v>
      </c>
      <c r="B162" s="75">
        <v>5000</v>
      </c>
      <c r="C162" s="75"/>
      <c r="D162" s="75"/>
      <c r="E162" s="75"/>
      <c r="F162" s="75">
        <f>SUM(B162:E162)</f>
        <v>5000</v>
      </c>
      <c r="H162" s="75">
        <v>5000</v>
      </c>
      <c r="I162" s="75"/>
      <c r="J162" s="75"/>
      <c r="K162" s="75"/>
      <c r="L162" s="75">
        <f>SUM(H162:K162)</f>
        <v>5000</v>
      </c>
      <c r="N162" s="75">
        <v>5000</v>
      </c>
      <c r="O162" s="75"/>
      <c r="P162" s="75"/>
      <c r="Q162" s="75"/>
      <c r="R162" s="75">
        <f>SUM(N162:Q162)</f>
        <v>5000</v>
      </c>
      <c r="T162" s="75">
        <v>0</v>
      </c>
      <c r="U162" s="75"/>
      <c r="V162" s="75"/>
      <c r="W162" s="75"/>
      <c r="X162" s="75">
        <f>SUM(T162:W162)</f>
        <v>0</v>
      </c>
      <c r="Y162" s="194"/>
      <c r="Z162" s="75">
        <v>0</v>
      </c>
      <c r="AA162" s="75"/>
      <c r="AB162" s="75"/>
      <c r="AC162" s="75"/>
      <c r="AD162" s="75">
        <f>SUM(Z162:AC162)</f>
        <v>0</v>
      </c>
      <c r="AE162" s="194"/>
      <c r="AF162" s="75">
        <v>0</v>
      </c>
      <c r="AG162" s="75"/>
      <c r="AH162" s="75"/>
      <c r="AI162" s="75"/>
      <c r="AJ162" s="75">
        <f>SUM(AF162:AI162)</f>
        <v>0</v>
      </c>
      <c r="AL162" s="75"/>
      <c r="AM162" s="75"/>
      <c r="AN162" s="75"/>
      <c r="AO162" s="75"/>
      <c r="AP162" s="75">
        <f>SUM(AL162:AO162)</f>
        <v>0</v>
      </c>
      <c r="AR162" s="75">
        <f>B162+H162+N162+T162+AL162+AF162+Z162</f>
        <v>15000</v>
      </c>
      <c r="AS162" s="75">
        <f t="shared" ref="AS162:AU162" si="342">C162+I162+O162+U162+AM162+AG162+AA162</f>
        <v>0</v>
      </c>
      <c r="AT162" s="75">
        <f t="shared" si="342"/>
        <v>0</v>
      </c>
      <c r="AU162" s="75">
        <f t="shared" si="342"/>
        <v>0</v>
      </c>
      <c r="AV162" s="75">
        <f>SUM(AR162:AU162)</f>
        <v>15000</v>
      </c>
    </row>
    <row r="163" spans="1:48" x14ac:dyDescent="0.25">
      <c r="A163" s="32" t="s">
        <v>112</v>
      </c>
      <c r="B163" s="63"/>
      <c r="C163" s="63"/>
      <c r="D163" s="63"/>
      <c r="E163" s="63"/>
      <c r="F163" s="75">
        <f t="shared" ref="F163:F170" si="343">SUM(B163:E163)</f>
        <v>0</v>
      </c>
      <c r="H163" s="63"/>
      <c r="I163" s="63"/>
      <c r="J163" s="63"/>
      <c r="K163" s="63"/>
      <c r="L163" s="75">
        <f t="shared" ref="L163:L170" si="344">SUM(H163:K163)</f>
        <v>0</v>
      </c>
      <c r="N163" s="89">
        <f>35000*1.03</f>
        <v>36050</v>
      </c>
      <c r="O163" s="63"/>
      <c r="P163" s="63"/>
      <c r="Q163" s="63"/>
      <c r="R163" s="75">
        <f t="shared" ref="R163:R170" si="345">SUM(N163:Q163)</f>
        <v>36050</v>
      </c>
      <c r="T163" s="63"/>
      <c r="U163" s="63"/>
      <c r="V163" s="63"/>
      <c r="W163" s="63"/>
      <c r="X163" s="75">
        <f t="shared" ref="X163:X170" si="346">SUM(T163:W163)</f>
        <v>0</v>
      </c>
      <c r="Y163" s="194"/>
      <c r="Z163" s="63"/>
      <c r="AA163" s="63"/>
      <c r="AB163" s="63"/>
      <c r="AC163" s="63"/>
      <c r="AD163" s="75">
        <f t="shared" ref="AD163:AD170" si="347">SUM(Z163:AC163)</f>
        <v>0</v>
      </c>
      <c r="AE163" s="194"/>
      <c r="AF163" s="63"/>
      <c r="AG163" s="63"/>
      <c r="AH163" s="63"/>
      <c r="AI163" s="63"/>
      <c r="AJ163" s="75">
        <f t="shared" ref="AJ163:AJ170" si="348">SUM(AF163:AI163)</f>
        <v>0</v>
      </c>
      <c r="AL163" s="63"/>
      <c r="AM163" s="63"/>
      <c r="AN163" s="63"/>
      <c r="AO163" s="63"/>
      <c r="AP163" s="75">
        <f t="shared" ref="AP163:AP170" si="349">SUM(AL163:AO163)</f>
        <v>0</v>
      </c>
      <c r="AR163" s="75">
        <f t="shared" ref="AR163:AR170" si="350">B163+H163+N163+T163+AL163+AF163+Z163</f>
        <v>36050</v>
      </c>
      <c r="AS163" s="75">
        <f t="shared" ref="AS163:AS170" si="351">C163+I163+O163+U163+AM163+AG163+AA163</f>
        <v>0</v>
      </c>
      <c r="AT163" s="75">
        <f t="shared" ref="AT163:AT170" si="352">D163+J163+P163+V163+AN163+AH163+AB163</f>
        <v>0</v>
      </c>
      <c r="AU163" s="75">
        <f t="shared" ref="AU163:AU170" si="353">E163+K163+Q163+W163+AO163+AI163+AC163</f>
        <v>0</v>
      </c>
      <c r="AV163" s="75">
        <f t="shared" ref="AV163:AV170" si="354">SUM(AR163:AU163)</f>
        <v>36050</v>
      </c>
    </row>
    <row r="164" spans="1:48" x14ac:dyDescent="0.25">
      <c r="A164" s="32" t="s">
        <v>116</v>
      </c>
      <c r="B164" s="63">
        <f>498.68*B17</f>
        <v>512643.04</v>
      </c>
      <c r="C164" s="63"/>
      <c r="D164" s="63"/>
      <c r="E164" s="63"/>
      <c r="F164" s="75">
        <f t="shared" si="343"/>
        <v>512643.04</v>
      </c>
      <c r="H164" s="63">
        <f>498.68*H17</f>
        <v>512643.04</v>
      </c>
      <c r="I164" s="63"/>
      <c r="J164" s="63"/>
      <c r="K164" s="63"/>
      <c r="L164" s="75">
        <f t="shared" si="344"/>
        <v>512643.04</v>
      </c>
      <c r="N164" s="63">
        <f>498.68*N17</f>
        <v>1226254.1200000001</v>
      </c>
      <c r="O164" s="63"/>
      <c r="P164" s="63"/>
      <c r="Q164" s="63"/>
      <c r="R164" s="75">
        <f t="shared" si="345"/>
        <v>1226254.1200000001</v>
      </c>
      <c r="T164" s="63">
        <f>498.68*T17</f>
        <v>265796.44</v>
      </c>
      <c r="U164" s="63"/>
      <c r="V164" s="63"/>
      <c r="W164" s="63"/>
      <c r="X164" s="75">
        <f t="shared" si="346"/>
        <v>265796.44</v>
      </c>
      <c r="Y164" s="194"/>
      <c r="Z164" s="63">
        <f>498.68*Z17</f>
        <v>213933.72</v>
      </c>
      <c r="AA164" s="63"/>
      <c r="AB164" s="63"/>
      <c r="AC164" s="63"/>
      <c r="AD164" s="75">
        <f t="shared" si="347"/>
        <v>213933.72</v>
      </c>
      <c r="AE164" s="194"/>
      <c r="AF164" s="63">
        <f>498.68*AF17</f>
        <v>0</v>
      </c>
      <c r="AG164" s="63"/>
      <c r="AH164" s="63"/>
      <c r="AI164" s="63"/>
      <c r="AJ164" s="75">
        <f t="shared" si="348"/>
        <v>0</v>
      </c>
      <c r="AL164" s="63"/>
      <c r="AM164" s="63"/>
      <c r="AN164" s="63"/>
      <c r="AO164" s="63"/>
      <c r="AP164" s="75">
        <f t="shared" si="349"/>
        <v>0</v>
      </c>
      <c r="AR164" s="75">
        <f t="shared" si="350"/>
        <v>2731270.3600000003</v>
      </c>
      <c r="AS164" s="75">
        <f t="shared" si="351"/>
        <v>0</v>
      </c>
      <c r="AT164" s="75">
        <f t="shared" si="352"/>
        <v>0</v>
      </c>
      <c r="AU164" s="75">
        <f t="shared" si="353"/>
        <v>0</v>
      </c>
      <c r="AV164" s="75">
        <f t="shared" si="354"/>
        <v>2731270.3600000003</v>
      </c>
    </row>
    <row r="165" spans="1:48" x14ac:dyDescent="0.25">
      <c r="A165" s="32" t="s">
        <v>117</v>
      </c>
      <c r="B165" s="61">
        <f>(3700*12)*1.03</f>
        <v>45732</v>
      </c>
      <c r="C165" s="63"/>
      <c r="D165" s="63"/>
      <c r="E165" s="63"/>
      <c r="F165" s="75">
        <f t="shared" si="343"/>
        <v>45732</v>
      </c>
      <c r="H165" s="61">
        <f>(3700*12)*1.03</f>
        <v>45732</v>
      </c>
      <c r="I165" s="63"/>
      <c r="J165" s="63"/>
      <c r="K165" s="63"/>
      <c r="L165" s="75">
        <f t="shared" si="344"/>
        <v>45732</v>
      </c>
      <c r="N165" s="61">
        <f>108000*1.03</f>
        <v>111240</v>
      </c>
      <c r="O165" s="63"/>
      <c r="P165" s="63"/>
      <c r="Q165" s="63"/>
      <c r="R165" s="75">
        <f t="shared" si="345"/>
        <v>111240</v>
      </c>
      <c r="T165" s="61">
        <f>(1000*12)*1.02</f>
        <v>12240</v>
      </c>
      <c r="U165" s="63"/>
      <c r="V165" s="63"/>
      <c r="W165" s="63"/>
      <c r="X165" s="75">
        <f t="shared" si="346"/>
        <v>12240</v>
      </c>
      <c r="Y165" s="194"/>
      <c r="Z165" s="61">
        <f>(800*12)*1.02</f>
        <v>9792</v>
      </c>
      <c r="AA165" s="63"/>
      <c r="AB165" s="63"/>
      <c r="AC165" s="63"/>
      <c r="AD165" s="75">
        <f t="shared" si="347"/>
        <v>9792</v>
      </c>
      <c r="AE165" s="194"/>
      <c r="AF165" s="61">
        <v>0</v>
      </c>
      <c r="AG165" s="63"/>
      <c r="AH165" s="63"/>
      <c r="AI165" s="63"/>
      <c r="AJ165" s="75">
        <f t="shared" si="348"/>
        <v>0</v>
      </c>
      <c r="AL165" s="61">
        <f>10000*1.03</f>
        <v>10300</v>
      </c>
      <c r="AM165" s="63"/>
      <c r="AN165" s="63"/>
      <c r="AO165" s="63"/>
      <c r="AP165" s="75">
        <f t="shared" si="349"/>
        <v>10300</v>
      </c>
      <c r="AR165" s="75">
        <f t="shared" si="350"/>
        <v>235036</v>
      </c>
      <c r="AS165" s="75">
        <f t="shared" si="351"/>
        <v>0</v>
      </c>
      <c r="AT165" s="75">
        <f t="shared" si="352"/>
        <v>0</v>
      </c>
      <c r="AU165" s="75">
        <f t="shared" si="353"/>
        <v>0</v>
      </c>
      <c r="AV165" s="75">
        <f t="shared" si="354"/>
        <v>235036</v>
      </c>
    </row>
    <row r="166" spans="1:48" x14ac:dyDescent="0.25">
      <c r="A166" s="32" t="s">
        <v>118</v>
      </c>
      <c r="B166" s="63">
        <f>22500*1.03</f>
        <v>23175</v>
      </c>
      <c r="C166" s="63"/>
      <c r="D166" s="63"/>
      <c r="E166" s="63"/>
      <c r="F166" s="75">
        <f t="shared" si="343"/>
        <v>23175</v>
      </c>
      <c r="H166" s="63">
        <f>22500*1.03</f>
        <v>23175</v>
      </c>
      <c r="I166" s="63"/>
      <c r="J166" s="63"/>
      <c r="K166" s="63"/>
      <c r="L166" s="75">
        <f t="shared" si="344"/>
        <v>23175</v>
      </c>
      <c r="N166" s="63">
        <f>30000*1.03</f>
        <v>30900</v>
      </c>
      <c r="O166" s="63"/>
      <c r="P166" s="63"/>
      <c r="Q166" s="63"/>
      <c r="R166" s="75">
        <f t="shared" si="345"/>
        <v>30900</v>
      </c>
      <c r="T166" s="63">
        <v>5000</v>
      </c>
      <c r="U166" s="63"/>
      <c r="V166" s="63"/>
      <c r="W166" s="63"/>
      <c r="X166" s="75">
        <f t="shared" si="346"/>
        <v>5000</v>
      </c>
      <c r="Y166" s="194"/>
      <c r="Z166" s="63">
        <v>0</v>
      </c>
      <c r="AA166" s="63"/>
      <c r="AB166" s="63"/>
      <c r="AC166" s="63"/>
      <c r="AD166" s="75">
        <f t="shared" si="347"/>
        <v>0</v>
      </c>
      <c r="AE166" s="194"/>
      <c r="AF166" s="63">
        <v>0</v>
      </c>
      <c r="AG166" s="63"/>
      <c r="AH166" s="63"/>
      <c r="AI166" s="63"/>
      <c r="AJ166" s="75">
        <f t="shared" si="348"/>
        <v>0</v>
      </c>
      <c r="AL166" s="63"/>
      <c r="AM166" s="63"/>
      <c r="AN166" s="63"/>
      <c r="AO166" s="63"/>
      <c r="AP166" s="75">
        <f t="shared" si="349"/>
        <v>0</v>
      </c>
      <c r="AR166" s="75">
        <f t="shared" si="350"/>
        <v>82250</v>
      </c>
      <c r="AS166" s="75">
        <f t="shared" si="351"/>
        <v>0</v>
      </c>
      <c r="AT166" s="75">
        <f t="shared" si="352"/>
        <v>0</v>
      </c>
      <c r="AU166" s="75">
        <f t="shared" si="353"/>
        <v>0</v>
      </c>
      <c r="AV166" s="75">
        <f t="shared" si="354"/>
        <v>82250</v>
      </c>
    </row>
    <row r="167" spans="1:48" x14ac:dyDescent="0.25">
      <c r="A167" s="32" t="s">
        <v>119</v>
      </c>
      <c r="B167" s="63">
        <v>33000</v>
      </c>
      <c r="C167" s="63"/>
      <c r="D167" s="63"/>
      <c r="E167" s="63"/>
      <c r="F167" s="75">
        <f t="shared" si="343"/>
        <v>33000</v>
      </c>
      <c r="H167" s="63">
        <v>33000</v>
      </c>
      <c r="I167" s="63"/>
      <c r="J167" s="63"/>
      <c r="K167" s="63"/>
      <c r="L167" s="75">
        <f t="shared" si="344"/>
        <v>33000</v>
      </c>
      <c r="N167" s="63">
        <v>52500</v>
      </c>
      <c r="O167" s="63"/>
      <c r="P167" s="63"/>
      <c r="Q167" s="63"/>
      <c r="R167" s="75">
        <f t="shared" si="345"/>
        <v>52500</v>
      </c>
      <c r="T167" s="63">
        <v>15000</v>
      </c>
      <c r="U167" s="63"/>
      <c r="V167" s="63"/>
      <c r="W167" s="63"/>
      <c r="X167" s="75">
        <f t="shared" si="346"/>
        <v>15000</v>
      </c>
      <c r="Y167" s="194"/>
      <c r="Z167" s="63">
        <v>15000</v>
      </c>
      <c r="AA167" s="63"/>
      <c r="AB167" s="63"/>
      <c r="AC167" s="63"/>
      <c r="AD167" s="75">
        <f t="shared" si="347"/>
        <v>15000</v>
      </c>
      <c r="AE167" s="194"/>
      <c r="AF167" s="63">
        <v>0</v>
      </c>
      <c r="AG167" s="63"/>
      <c r="AH167" s="63"/>
      <c r="AI167" s="63"/>
      <c r="AJ167" s="75">
        <f t="shared" si="348"/>
        <v>0</v>
      </c>
      <c r="AL167" s="63"/>
      <c r="AM167" s="63"/>
      <c r="AN167" s="63"/>
      <c r="AO167" s="63"/>
      <c r="AP167" s="75">
        <f t="shared" si="349"/>
        <v>0</v>
      </c>
      <c r="AR167" s="75">
        <f t="shared" si="350"/>
        <v>148500</v>
      </c>
      <c r="AS167" s="75">
        <f t="shared" si="351"/>
        <v>0</v>
      </c>
      <c r="AT167" s="75">
        <f t="shared" si="352"/>
        <v>0</v>
      </c>
      <c r="AU167" s="75">
        <f t="shared" si="353"/>
        <v>0</v>
      </c>
      <c r="AV167" s="75">
        <f t="shared" si="354"/>
        <v>148500</v>
      </c>
    </row>
    <row r="168" spans="1:48" x14ac:dyDescent="0.25">
      <c r="A168" s="32" t="s">
        <v>120</v>
      </c>
      <c r="B168" s="63">
        <f>(45*B17)</f>
        <v>46260</v>
      </c>
      <c r="C168" s="63"/>
      <c r="D168" s="63"/>
      <c r="E168" s="63"/>
      <c r="F168" s="75">
        <f t="shared" si="343"/>
        <v>46260</v>
      </c>
      <c r="H168" s="63">
        <f>(45*H17)</f>
        <v>46260</v>
      </c>
      <c r="I168" s="63"/>
      <c r="J168" s="63"/>
      <c r="K168" s="63"/>
      <c r="L168" s="75">
        <f t="shared" si="344"/>
        <v>46260</v>
      </c>
      <c r="N168" s="63">
        <f>(45*N17)</f>
        <v>110655</v>
      </c>
      <c r="O168" s="63"/>
      <c r="P168" s="63"/>
      <c r="Q168" s="63"/>
      <c r="R168" s="75">
        <f t="shared" si="345"/>
        <v>110655</v>
      </c>
      <c r="T168" s="63">
        <f>(45*T17)</f>
        <v>23985</v>
      </c>
      <c r="U168" s="63"/>
      <c r="V168" s="63"/>
      <c r="W168" s="63"/>
      <c r="X168" s="75">
        <f t="shared" si="346"/>
        <v>23985</v>
      </c>
      <c r="Y168" s="194"/>
      <c r="Z168" s="63">
        <f>(45*Z17)</f>
        <v>19305</v>
      </c>
      <c r="AA168" s="63"/>
      <c r="AB168" s="63"/>
      <c r="AC168" s="63"/>
      <c r="AD168" s="75">
        <f t="shared" si="347"/>
        <v>19305</v>
      </c>
      <c r="AE168" s="194"/>
      <c r="AF168" s="63">
        <f>(45*AF17)</f>
        <v>0</v>
      </c>
      <c r="AG168" s="63"/>
      <c r="AH168" s="63"/>
      <c r="AI168" s="63"/>
      <c r="AJ168" s="75">
        <f t="shared" si="348"/>
        <v>0</v>
      </c>
      <c r="AL168" s="63"/>
      <c r="AM168" s="63"/>
      <c r="AN168" s="63"/>
      <c r="AO168" s="63"/>
      <c r="AP168" s="75">
        <f t="shared" si="349"/>
        <v>0</v>
      </c>
      <c r="AR168" s="75">
        <f t="shared" si="350"/>
        <v>246465</v>
      </c>
      <c r="AS168" s="75">
        <f t="shared" si="351"/>
        <v>0</v>
      </c>
      <c r="AT168" s="75">
        <f t="shared" si="352"/>
        <v>0</v>
      </c>
      <c r="AU168" s="75">
        <f t="shared" si="353"/>
        <v>0</v>
      </c>
      <c r="AV168" s="75">
        <f t="shared" si="354"/>
        <v>246465</v>
      </c>
    </row>
    <row r="169" spans="1:48" x14ac:dyDescent="0.25">
      <c r="A169" s="32" t="s">
        <v>121</v>
      </c>
      <c r="B169" s="63">
        <v>0</v>
      </c>
      <c r="C169" s="63"/>
      <c r="D169" s="63"/>
      <c r="E169" s="63"/>
      <c r="F169" s="75">
        <f t="shared" si="343"/>
        <v>0</v>
      </c>
      <c r="H169" s="63">
        <v>0</v>
      </c>
      <c r="I169" s="63"/>
      <c r="J169" s="63"/>
      <c r="K169" s="63"/>
      <c r="L169" s="75">
        <f t="shared" si="344"/>
        <v>0</v>
      </c>
      <c r="N169" s="63">
        <v>0</v>
      </c>
      <c r="O169" s="63"/>
      <c r="P169" s="63"/>
      <c r="Q169" s="63"/>
      <c r="R169" s="75">
        <f t="shared" si="345"/>
        <v>0</v>
      </c>
      <c r="T169" s="63">
        <v>0</v>
      </c>
      <c r="U169" s="63"/>
      <c r="V169" s="63"/>
      <c r="W169" s="63"/>
      <c r="X169" s="75">
        <f t="shared" si="346"/>
        <v>0</v>
      </c>
      <c r="Y169" s="194"/>
      <c r="Z169" s="63">
        <v>0</v>
      </c>
      <c r="AA169" s="63"/>
      <c r="AB169" s="63"/>
      <c r="AC169" s="63"/>
      <c r="AD169" s="75">
        <f t="shared" si="347"/>
        <v>0</v>
      </c>
      <c r="AE169" s="194"/>
      <c r="AF169" s="63">
        <v>0</v>
      </c>
      <c r="AG169" s="63"/>
      <c r="AH169" s="63"/>
      <c r="AI169" s="63"/>
      <c r="AJ169" s="75">
        <f t="shared" si="348"/>
        <v>0</v>
      </c>
      <c r="AL169" s="63"/>
      <c r="AM169" s="63"/>
      <c r="AN169" s="63"/>
      <c r="AO169" s="63"/>
      <c r="AP169" s="75">
        <f t="shared" si="349"/>
        <v>0</v>
      </c>
      <c r="AR169" s="75">
        <f t="shared" si="350"/>
        <v>0</v>
      </c>
      <c r="AS169" s="75">
        <f t="shared" si="351"/>
        <v>0</v>
      </c>
      <c r="AT169" s="75">
        <f t="shared" si="352"/>
        <v>0</v>
      </c>
      <c r="AU169" s="75">
        <f t="shared" si="353"/>
        <v>0</v>
      </c>
      <c r="AV169" s="75">
        <f t="shared" si="354"/>
        <v>0</v>
      </c>
    </row>
    <row r="170" spans="1:48" x14ac:dyDescent="0.25">
      <c r="A170" s="33" t="s">
        <v>122</v>
      </c>
      <c r="B170" s="64">
        <f>B68*0.0125</f>
        <v>121895.1</v>
      </c>
      <c r="C170" s="64"/>
      <c r="D170" s="64"/>
      <c r="E170" s="64"/>
      <c r="F170" s="75">
        <f t="shared" si="343"/>
        <v>121895.1</v>
      </c>
      <c r="H170" s="64">
        <f>H68*0.0125</f>
        <v>121895.1</v>
      </c>
      <c r="I170" s="64"/>
      <c r="J170" s="64"/>
      <c r="K170" s="64"/>
      <c r="L170" s="75">
        <f t="shared" si="344"/>
        <v>121895.1</v>
      </c>
      <c r="N170" s="64">
        <f>N68*0.0125</f>
        <v>291575.92499999999</v>
      </c>
      <c r="O170" s="64"/>
      <c r="P170" s="64"/>
      <c r="Q170" s="64"/>
      <c r="R170" s="75">
        <f t="shared" si="345"/>
        <v>291575.92499999999</v>
      </c>
      <c r="T170" s="64">
        <f>T68*0.0125</f>
        <v>63200.475000000006</v>
      </c>
      <c r="U170" s="64"/>
      <c r="V170" s="64"/>
      <c r="W170" s="64"/>
      <c r="X170" s="75">
        <f t="shared" si="346"/>
        <v>63200.475000000006</v>
      </c>
      <c r="Y170" s="194"/>
      <c r="Z170" s="64">
        <f>Z68*0.0125</f>
        <v>50868.675000000003</v>
      </c>
      <c r="AA170" s="64"/>
      <c r="AB170" s="64"/>
      <c r="AC170" s="64"/>
      <c r="AD170" s="75">
        <f t="shared" si="347"/>
        <v>50868.675000000003</v>
      </c>
      <c r="AE170" s="194"/>
      <c r="AF170" s="64">
        <f>AF68*0.0125</f>
        <v>0</v>
      </c>
      <c r="AG170" s="64"/>
      <c r="AH170" s="64"/>
      <c r="AI170" s="64"/>
      <c r="AJ170" s="75">
        <f t="shared" si="348"/>
        <v>0</v>
      </c>
      <c r="AL170" s="64"/>
      <c r="AM170" s="64"/>
      <c r="AN170" s="64"/>
      <c r="AO170" s="64"/>
      <c r="AP170" s="75">
        <f t="shared" si="349"/>
        <v>0</v>
      </c>
      <c r="AR170" s="75">
        <f t="shared" si="350"/>
        <v>649435.27500000002</v>
      </c>
      <c r="AS170" s="75">
        <f t="shared" si="351"/>
        <v>0</v>
      </c>
      <c r="AT170" s="75">
        <f t="shared" si="352"/>
        <v>0</v>
      </c>
      <c r="AU170" s="75">
        <f t="shared" si="353"/>
        <v>0</v>
      </c>
      <c r="AV170" s="75">
        <f t="shared" si="354"/>
        <v>649435.27500000002</v>
      </c>
    </row>
    <row r="171" spans="1:48" x14ac:dyDescent="0.25">
      <c r="A171" s="34"/>
      <c r="B171" s="76">
        <f>SUM(B162:B170)</f>
        <v>787705.14</v>
      </c>
      <c r="C171" s="76">
        <f t="shared" ref="C171:F171" si="355">SUM(C162:C170)</f>
        <v>0</v>
      </c>
      <c r="D171" s="76">
        <f t="shared" si="355"/>
        <v>0</v>
      </c>
      <c r="E171" s="76">
        <f t="shared" si="355"/>
        <v>0</v>
      </c>
      <c r="F171" s="76">
        <f t="shared" si="355"/>
        <v>787705.14</v>
      </c>
      <c r="H171" s="76">
        <f>SUM(H162:H170)</f>
        <v>787705.14</v>
      </c>
      <c r="I171" s="76">
        <f t="shared" ref="I171:L171" si="356">SUM(I162:I170)</f>
        <v>0</v>
      </c>
      <c r="J171" s="76">
        <f t="shared" si="356"/>
        <v>0</v>
      </c>
      <c r="K171" s="76">
        <f t="shared" si="356"/>
        <v>0</v>
      </c>
      <c r="L171" s="76">
        <f t="shared" si="356"/>
        <v>787705.14</v>
      </c>
      <c r="N171" s="76">
        <f>SUM(N162:N170)</f>
        <v>1864175.0450000002</v>
      </c>
      <c r="O171" s="76">
        <f t="shared" ref="O171:R171" si="357">SUM(O162:O170)</f>
        <v>0</v>
      </c>
      <c r="P171" s="76">
        <f t="shared" si="357"/>
        <v>0</v>
      </c>
      <c r="Q171" s="76">
        <f t="shared" si="357"/>
        <v>0</v>
      </c>
      <c r="R171" s="76">
        <f t="shared" si="357"/>
        <v>1864175.0450000002</v>
      </c>
      <c r="T171" s="76">
        <f>SUM(T162:T170)</f>
        <v>385221.91500000004</v>
      </c>
      <c r="U171" s="76">
        <f t="shared" ref="U171:X171" si="358">SUM(U162:U170)</f>
        <v>0</v>
      </c>
      <c r="V171" s="76">
        <f t="shared" si="358"/>
        <v>0</v>
      </c>
      <c r="W171" s="76">
        <f t="shared" si="358"/>
        <v>0</v>
      </c>
      <c r="X171" s="76">
        <f t="shared" si="358"/>
        <v>385221.91500000004</v>
      </c>
      <c r="Y171" s="199"/>
      <c r="Z171" s="76">
        <f>SUM(Z162:Z170)</f>
        <v>308899.39500000002</v>
      </c>
      <c r="AA171" s="76">
        <f t="shared" ref="AA171:AD171" si="359">SUM(AA162:AA170)</f>
        <v>0</v>
      </c>
      <c r="AB171" s="76">
        <f t="shared" si="359"/>
        <v>0</v>
      </c>
      <c r="AC171" s="76">
        <f t="shared" si="359"/>
        <v>0</v>
      </c>
      <c r="AD171" s="76">
        <f t="shared" si="359"/>
        <v>308899.39500000002</v>
      </c>
      <c r="AE171" s="199"/>
      <c r="AF171" s="76">
        <f>SUM(AF162:AF170)</f>
        <v>0</v>
      </c>
      <c r="AG171" s="76">
        <f t="shared" ref="AG171:AJ171" si="360">SUM(AG162:AG170)</f>
        <v>0</v>
      </c>
      <c r="AH171" s="76">
        <f t="shared" si="360"/>
        <v>0</v>
      </c>
      <c r="AI171" s="76">
        <f t="shared" si="360"/>
        <v>0</v>
      </c>
      <c r="AJ171" s="76">
        <f t="shared" si="360"/>
        <v>0</v>
      </c>
      <c r="AL171" s="76">
        <f>SUM(AL162:AL170)</f>
        <v>10300</v>
      </c>
      <c r="AM171" s="76">
        <f t="shared" ref="AM171:AN171" si="361">SUM(AM162:AM170)</f>
        <v>0</v>
      </c>
      <c r="AN171" s="76">
        <f t="shared" si="361"/>
        <v>0</v>
      </c>
      <c r="AO171" s="76">
        <f t="shared" ref="AO171" si="362">SUM(AO162:AO170)</f>
        <v>0</v>
      </c>
      <c r="AP171" s="76">
        <f t="shared" ref="AP171" si="363">SUM(AP162:AP170)</f>
        <v>10300</v>
      </c>
      <c r="AR171" s="76">
        <f>SUM(AR162:AR170)</f>
        <v>4144006.6350000002</v>
      </c>
      <c r="AS171" s="76">
        <f t="shared" ref="AS171:AV171" si="364">SUM(AS162:AS170)</f>
        <v>0</v>
      </c>
      <c r="AT171" s="76">
        <f t="shared" si="364"/>
        <v>0</v>
      </c>
      <c r="AU171" s="76">
        <f t="shared" si="364"/>
        <v>0</v>
      </c>
      <c r="AV171" s="76">
        <f t="shared" si="364"/>
        <v>4144006.6350000002</v>
      </c>
    </row>
    <row r="172" spans="1:48" x14ac:dyDescent="0.25">
      <c r="B172" s="77"/>
      <c r="C172" s="77"/>
      <c r="D172" s="77"/>
      <c r="E172" s="77"/>
      <c r="F172" s="77"/>
      <c r="H172" s="77"/>
      <c r="I172" s="77"/>
      <c r="J172" s="77"/>
      <c r="K172" s="77"/>
      <c r="L172" s="77"/>
      <c r="N172" s="77"/>
      <c r="O172" s="77"/>
      <c r="P172" s="77"/>
      <c r="Q172" s="77"/>
      <c r="R172" s="77"/>
      <c r="T172" s="77"/>
      <c r="U172" s="77"/>
      <c r="V172" s="77"/>
      <c r="W172" s="77"/>
      <c r="X172" s="77"/>
      <c r="Y172" s="79"/>
      <c r="Z172" s="77"/>
      <c r="AA172" s="77"/>
      <c r="AB172" s="77"/>
      <c r="AC172" s="77"/>
      <c r="AD172" s="77"/>
      <c r="AE172" s="79"/>
      <c r="AF172" s="77"/>
      <c r="AG172" s="77"/>
      <c r="AH172" s="77"/>
      <c r="AI172" s="77"/>
      <c r="AJ172" s="77"/>
      <c r="AL172" s="77"/>
      <c r="AM172" s="77"/>
      <c r="AN172" s="77"/>
      <c r="AO172" s="77"/>
      <c r="AP172" s="77"/>
      <c r="AR172" s="77"/>
      <c r="AS172" s="77"/>
      <c r="AT172" s="77"/>
      <c r="AU172" s="77"/>
      <c r="AV172" s="77"/>
    </row>
    <row r="173" spans="1:48" x14ac:dyDescent="0.25">
      <c r="A173" s="28"/>
      <c r="B173" s="78" t="s">
        <v>157</v>
      </c>
      <c r="C173" s="78" t="s">
        <v>158</v>
      </c>
      <c r="D173" s="78" t="s">
        <v>159</v>
      </c>
      <c r="E173" s="78" t="str">
        <f>E161</f>
        <v>Other</v>
      </c>
      <c r="F173" s="78" t="str">
        <f>F161</f>
        <v>FY27- Mtn</v>
      </c>
      <c r="H173" s="78" t="s">
        <v>157</v>
      </c>
      <c r="I173" s="78" t="s">
        <v>158</v>
      </c>
      <c r="J173" s="78" t="s">
        <v>159</v>
      </c>
      <c r="K173" s="78" t="str">
        <f>K161</f>
        <v>Other</v>
      </c>
      <c r="L173" s="78" t="str">
        <f>L161</f>
        <v>FY27- Bon</v>
      </c>
      <c r="N173" s="78" t="s">
        <v>157</v>
      </c>
      <c r="O173" s="78" t="s">
        <v>158</v>
      </c>
      <c r="P173" s="78" t="s">
        <v>159</v>
      </c>
      <c r="Q173" s="78" t="str">
        <f>Q161</f>
        <v>Other</v>
      </c>
      <c r="R173" s="78" t="str">
        <f>R161</f>
        <v>FY27- East</v>
      </c>
      <c r="T173" s="78" t="s">
        <v>157</v>
      </c>
      <c r="U173" s="78" t="s">
        <v>158</v>
      </c>
      <c r="V173" s="78" t="s">
        <v>159</v>
      </c>
      <c r="W173" s="78" t="str">
        <f>W161</f>
        <v>Other</v>
      </c>
      <c r="X173" s="78" t="str">
        <f>X161</f>
        <v>FY27- Cactus</v>
      </c>
      <c r="Y173" s="201"/>
      <c r="Z173" s="78" t="s">
        <v>157</v>
      </c>
      <c r="AA173" s="78" t="s">
        <v>158</v>
      </c>
      <c r="AB173" s="78" t="s">
        <v>159</v>
      </c>
      <c r="AC173" s="78" t="str">
        <f>AC161</f>
        <v>Other</v>
      </c>
      <c r="AD173" s="78" t="str">
        <f>AD161</f>
        <v>FY27- Sahara</v>
      </c>
      <c r="AE173" s="201"/>
      <c r="AF173" s="78" t="s">
        <v>157</v>
      </c>
      <c r="AG173" s="78" t="s">
        <v>158</v>
      </c>
      <c r="AH173" s="78" t="s">
        <v>159</v>
      </c>
      <c r="AI173" s="78" t="str">
        <f>AI161</f>
        <v>Other</v>
      </c>
      <c r="AJ173" s="78" t="str">
        <f>AJ161</f>
        <v>FY27- VV</v>
      </c>
      <c r="AL173" s="78" t="s">
        <v>157</v>
      </c>
      <c r="AM173" s="78" t="s">
        <v>158</v>
      </c>
      <c r="AN173" s="78" t="s">
        <v>159</v>
      </c>
      <c r="AO173" s="78" t="str">
        <f>AO161</f>
        <v>Grant</v>
      </c>
      <c r="AP173" s="78" t="str">
        <f>AP161</f>
        <v>FY27 - Central</v>
      </c>
      <c r="AR173" s="78" t="s">
        <v>157</v>
      </c>
      <c r="AS173" s="78" t="s">
        <v>158</v>
      </c>
      <c r="AT173" s="78" t="s">
        <v>159</v>
      </c>
      <c r="AU173" s="78" t="str">
        <f>AU161</f>
        <v>Other</v>
      </c>
      <c r="AV173" s="78" t="str">
        <f>AV161</f>
        <v>FY27- Sys</v>
      </c>
    </row>
    <row r="174" spans="1:48" x14ac:dyDescent="0.25">
      <c r="A174" s="35" t="s">
        <v>123</v>
      </c>
      <c r="B174" s="75">
        <f>((400*12)+7800)*1.02</f>
        <v>12852</v>
      </c>
      <c r="C174" s="75"/>
      <c r="D174" s="75"/>
      <c r="E174" s="75"/>
      <c r="F174" s="75">
        <f>SUM(B174:E174)</f>
        <v>12852</v>
      </c>
      <c r="H174" s="75">
        <f>((400*12)+7800)*1.01</f>
        <v>12726</v>
      </c>
      <c r="I174" s="75"/>
      <c r="J174" s="75"/>
      <c r="K174" s="75"/>
      <c r="L174" s="75">
        <f>SUM(H174:K174)</f>
        <v>12726</v>
      </c>
      <c r="N174" s="75">
        <f>(9600+17400)*1.02</f>
        <v>27540</v>
      </c>
      <c r="O174" s="75"/>
      <c r="P174" s="75"/>
      <c r="Q174" s="75"/>
      <c r="R174" s="75">
        <f>SUM(N174:Q174)</f>
        <v>27540</v>
      </c>
      <c r="T174" s="60">
        <f>((1060*12)+(60*12))*1.03</f>
        <v>13843.2</v>
      </c>
      <c r="U174" s="75"/>
      <c r="V174" s="75"/>
      <c r="W174" s="75"/>
      <c r="X174" s="75">
        <f>SUM(T174:W174)</f>
        <v>13843.2</v>
      </c>
      <c r="Y174" s="194"/>
      <c r="Z174" s="60">
        <f>((1060*12)+(60*12))*1.03</f>
        <v>13843.2</v>
      </c>
      <c r="AA174" s="75"/>
      <c r="AB174" s="75"/>
      <c r="AC174" s="75"/>
      <c r="AD174" s="75">
        <f>SUM(Z174:AC174)</f>
        <v>13843.2</v>
      </c>
      <c r="AE174" s="194"/>
      <c r="AF174" s="60">
        <v>0</v>
      </c>
      <c r="AG174" s="75"/>
      <c r="AH174" s="75"/>
      <c r="AI174" s="75"/>
      <c r="AJ174" s="75">
        <f>SUM(AF174:AI174)</f>
        <v>0</v>
      </c>
      <c r="AL174" s="60"/>
      <c r="AM174" s="60"/>
      <c r="AN174" s="60"/>
      <c r="AO174" s="60"/>
      <c r="AP174" s="75">
        <f>SUM(AL174:AO174)</f>
        <v>0</v>
      </c>
      <c r="AR174" s="60">
        <f>B174+H174+N174+T174+AL174+AF174+Z174</f>
        <v>80804.399999999994</v>
      </c>
      <c r="AS174" s="60">
        <f t="shared" ref="AS174:AU174" si="365">C174+I174+O174+U174+AM174+AG174+AA174</f>
        <v>0</v>
      </c>
      <c r="AT174" s="60">
        <f t="shared" si="365"/>
        <v>0</v>
      </c>
      <c r="AU174" s="60">
        <f t="shared" si="365"/>
        <v>0</v>
      </c>
      <c r="AV174" s="75">
        <f>SUM(AR174:AU174)</f>
        <v>80804.399999999994</v>
      </c>
    </row>
    <row r="175" spans="1:48" x14ac:dyDescent="0.25">
      <c r="A175" s="32" t="s">
        <v>124</v>
      </c>
      <c r="B175" s="75">
        <f>1000+200</f>
        <v>1200</v>
      </c>
      <c r="C175" s="63"/>
      <c r="D175" s="63"/>
      <c r="E175" s="63"/>
      <c r="F175" s="75">
        <f t="shared" ref="F175:F193" si="366">SUM(B175:E175)</f>
        <v>1200</v>
      </c>
      <c r="H175" s="75">
        <f>1000+200</f>
        <v>1200</v>
      </c>
      <c r="I175" s="63"/>
      <c r="J175" s="63"/>
      <c r="K175" s="63"/>
      <c r="L175" s="75">
        <f t="shared" ref="L175:L193" si="367">SUM(H175:K175)</f>
        <v>1200</v>
      </c>
      <c r="N175" s="75">
        <f>2000+200</f>
        <v>2200</v>
      </c>
      <c r="O175" s="63"/>
      <c r="P175" s="63"/>
      <c r="Q175" s="63"/>
      <c r="R175" s="75">
        <f t="shared" ref="R175:R193" si="368">SUM(N175:Q175)</f>
        <v>2200</v>
      </c>
      <c r="T175" s="60">
        <f>500+150</f>
        <v>650</v>
      </c>
      <c r="U175" s="63"/>
      <c r="V175" s="63"/>
      <c r="W175" s="63"/>
      <c r="X175" s="75">
        <f t="shared" ref="X175:X193" si="369">SUM(T175:W175)</f>
        <v>650</v>
      </c>
      <c r="Y175" s="194"/>
      <c r="Z175" s="60">
        <f>500+150</f>
        <v>650</v>
      </c>
      <c r="AA175" s="63"/>
      <c r="AB175" s="63"/>
      <c r="AC175" s="63"/>
      <c r="AD175" s="75">
        <f t="shared" ref="AD175:AD193" si="370">SUM(Z175:AC175)</f>
        <v>650</v>
      </c>
      <c r="AE175" s="194"/>
      <c r="AF175" s="60">
        <v>0</v>
      </c>
      <c r="AG175" s="63"/>
      <c r="AH175" s="63"/>
      <c r="AI175" s="63"/>
      <c r="AJ175" s="75">
        <f t="shared" ref="AJ175:AJ193" si="371">SUM(AF175:AI175)</f>
        <v>0</v>
      </c>
      <c r="AL175" s="60"/>
      <c r="AM175" s="61"/>
      <c r="AN175" s="61"/>
      <c r="AO175" s="61"/>
      <c r="AP175" s="75">
        <f t="shared" ref="AP175:AP193" si="372">SUM(AL175:AO175)</f>
        <v>0</v>
      </c>
      <c r="AR175" s="60">
        <f t="shared" ref="AR175:AR193" si="373">B175+H175+N175+T175+AL175+AF175+Z175</f>
        <v>5900</v>
      </c>
      <c r="AS175" s="60">
        <f t="shared" ref="AS175:AS193" si="374">C175+I175+O175+U175+AM175+AG175+AA175</f>
        <v>0</v>
      </c>
      <c r="AT175" s="60">
        <f t="shared" ref="AT175:AT193" si="375">D175+J175+P175+V175+AN175+AH175+AB175</f>
        <v>0</v>
      </c>
      <c r="AU175" s="60">
        <f t="shared" ref="AU175:AU193" si="376">E175+K175+Q175+W175+AO175+AI175+AC175</f>
        <v>0</v>
      </c>
      <c r="AV175" s="75">
        <f t="shared" ref="AV175:AV193" si="377">SUM(AR175:AU175)</f>
        <v>5900</v>
      </c>
    </row>
    <row r="176" spans="1:48" x14ac:dyDescent="0.25">
      <c r="A176" s="32" t="s">
        <v>125</v>
      </c>
      <c r="B176" s="60">
        <f>6500+250</f>
        <v>6750</v>
      </c>
      <c r="C176" s="63"/>
      <c r="D176" s="63"/>
      <c r="E176" s="63"/>
      <c r="F176" s="75">
        <f t="shared" si="366"/>
        <v>6750</v>
      </c>
      <c r="H176" s="60">
        <f>6500+250</f>
        <v>6750</v>
      </c>
      <c r="I176" s="63"/>
      <c r="J176" s="63"/>
      <c r="K176" s="63"/>
      <c r="L176" s="75">
        <f t="shared" si="367"/>
        <v>6750</v>
      </c>
      <c r="N176" s="60">
        <f>6500+500</f>
        <v>7000</v>
      </c>
      <c r="O176" s="63"/>
      <c r="P176" s="63"/>
      <c r="Q176" s="63"/>
      <c r="R176" s="75">
        <f t="shared" si="368"/>
        <v>7000</v>
      </c>
      <c r="T176" s="60">
        <f>6500+500</f>
        <v>7000</v>
      </c>
      <c r="U176" s="63"/>
      <c r="V176" s="63"/>
      <c r="W176" s="63"/>
      <c r="X176" s="75">
        <f t="shared" si="369"/>
        <v>7000</v>
      </c>
      <c r="Y176" s="194"/>
      <c r="Z176" s="60">
        <f>6500+500</f>
        <v>7000</v>
      </c>
      <c r="AA176" s="63"/>
      <c r="AB176" s="63"/>
      <c r="AC176" s="63"/>
      <c r="AD176" s="75">
        <f t="shared" si="370"/>
        <v>7000</v>
      </c>
      <c r="AE176" s="194"/>
      <c r="AF176" s="60">
        <v>0</v>
      </c>
      <c r="AG176" s="63"/>
      <c r="AH176" s="63"/>
      <c r="AI176" s="63"/>
      <c r="AJ176" s="75">
        <f t="shared" si="371"/>
        <v>0</v>
      </c>
      <c r="AL176" s="60"/>
      <c r="AM176" s="61"/>
      <c r="AN176" s="61"/>
      <c r="AO176" s="61"/>
      <c r="AP176" s="75">
        <f t="shared" si="372"/>
        <v>0</v>
      </c>
      <c r="AR176" s="60">
        <f t="shared" si="373"/>
        <v>34500</v>
      </c>
      <c r="AS176" s="60">
        <f t="shared" si="374"/>
        <v>0</v>
      </c>
      <c r="AT176" s="60">
        <f t="shared" si="375"/>
        <v>0</v>
      </c>
      <c r="AU176" s="60">
        <f t="shared" si="376"/>
        <v>0</v>
      </c>
      <c r="AV176" s="75">
        <f t="shared" si="377"/>
        <v>34500</v>
      </c>
    </row>
    <row r="177" spans="1:48" x14ac:dyDescent="0.25">
      <c r="A177" s="32" t="s">
        <v>126</v>
      </c>
      <c r="B177" s="60">
        <f>39000+500</f>
        <v>39500</v>
      </c>
      <c r="C177" s="63"/>
      <c r="D177" s="63"/>
      <c r="E177" s="63"/>
      <c r="F177" s="75">
        <f t="shared" si="366"/>
        <v>39500</v>
      </c>
      <c r="H177" s="60">
        <f>39000+500</f>
        <v>39500</v>
      </c>
      <c r="I177" s="63"/>
      <c r="J177" s="63"/>
      <c r="K177" s="63"/>
      <c r="L177" s="75">
        <f t="shared" si="367"/>
        <v>39500</v>
      </c>
      <c r="N177" s="60">
        <f>100000+3000</f>
        <v>103000</v>
      </c>
      <c r="O177" s="63"/>
      <c r="P177" s="63"/>
      <c r="Q177" s="63"/>
      <c r="R177" s="75">
        <f t="shared" si="368"/>
        <v>103000</v>
      </c>
      <c r="T177" s="60">
        <f>17500+2500</f>
        <v>20000</v>
      </c>
      <c r="U177" s="63"/>
      <c r="V177" s="63"/>
      <c r="W177" s="63"/>
      <c r="X177" s="75">
        <f t="shared" si="369"/>
        <v>20000</v>
      </c>
      <c r="Y177" s="194"/>
      <c r="Z177" s="60">
        <f>17500+2500</f>
        <v>20000</v>
      </c>
      <c r="AA177" s="63"/>
      <c r="AB177" s="63"/>
      <c r="AC177" s="63"/>
      <c r="AD177" s="75">
        <f t="shared" si="370"/>
        <v>20000</v>
      </c>
      <c r="AE177" s="194"/>
      <c r="AF177" s="60">
        <v>0</v>
      </c>
      <c r="AG177" s="63"/>
      <c r="AH177" s="63"/>
      <c r="AI177" s="63"/>
      <c r="AJ177" s="75">
        <f t="shared" si="371"/>
        <v>0</v>
      </c>
      <c r="AL177" s="60"/>
      <c r="AM177" s="61"/>
      <c r="AN177" s="61"/>
      <c r="AO177" s="61"/>
      <c r="AP177" s="75">
        <f t="shared" si="372"/>
        <v>0</v>
      </c>
      <c r="AR177" s="60">
        <f t="shared" si="373"/>
        <v>222000</v>
      </c>
      <c r="AS177" s="60">
        <f t="shared" si="374"/>
        <v>0</v>
      </c>
      <c r="AT177" s="60">
        <f t="shared" si="375"/>
        <v>0</v>
      </c>
      <c r="AU177" s="60">
        <f t="shared" si="376"/>
        <v>0</v>
      </c>
      <c r="AV177" s="75">
        <f t="shared" si="377"/>
        <v>222000</v>
      </c>
    </row>
    <row r="178" spans="1:48" x14ac:dyDescent="0.25">
      <c r="A178" s="32" t="s">
        <v>127</v>
      </c>
      <c r="B178" s="60">
        <f>((2+2.5+0.4+1.95)*B17)*1.02</f>
        <v>7182.6360000000004</v>
      </c>
      <c r="C178" s="63"/>
      <c r="D178" s="63"/>
      <c r="E178" s="63"/>
      <c r="F178" s="75">
        <f t="shared" si="366"/>
        <v>7182.6360000000004</v>
      </c>
      <c r="H178" s="60">
        <f>((2+2.5+0.4+1.95)*H17)*1.01</f>
        <v>7112.2179999999998</v>
      </c>
      <c r="I178" s="63"/>
      <c r="J178" s="63"/>
      <c r="K178" s="63"/>
      <c r="L178" s="75">
        <f t="shared" si="367"/>
        <v>7112.2179999999998</v>
      </c>
      <c r="N178" s="60">
        <f>((2+2.5+0.4+1.95)*N17)*1.02</f>
        <v>17181.033000000003</v>
      </c>
      <c r="O178" s="63"/>
      <c r="P178" s="63"/>
      <c r="Q178" s="63"/>
      <c r="R178" s="75">
        <f t="shared" si="368"/>
        <v>17181.033000000003</v>
      </c>
      <c r="T178" s="60">
        <f>((2+2.5+0.4+1.95)*T17)*1.03</f>
        <v>3760.5815000000002</v>
      </c>
      <c r="U178" s="63"/>
      <c r="V178" s="63"/>
      <c r="W178" s="63"/>
      <c r="X178" s="75">
        <f t="shared" si="369"/>
        <v>3760.5815000000002</v>
      </c>
      <c r="Y178" s="194"/>
      <c r="Z178" s="60">
        <f>((2+2.5+0.4+1.95)*Z17)*1.03</f>
        <v>3026.8095000000003</v>
      </c>
      <c r="AA178" s="63"/>
      <c r="AB178" s="63"/>
      <c r="AC178" s="63"/>
      <c r="AD178" s="75">
        <f t="shared" si="370"/>
        <v>3026.8095000000003</v>
      </c>
      <c r="AE178" s="194"/>
      <c r="AF178" s="60">
        <v>0</v>
      </c>
      <c r="AG178" s="63"/>
      <c r="AH178" s="63"/>
      <c r="AI178" s="63"/>
      <c r="AJ178" s="75">
        <f t="shared" si="371"/>
        <v>0</v>
      </c>
      <c r="AL178" s="60"/>
      <c r="AM178" s="61"/>
      <c r="AN178" s="61"/>
      <c r="AO178" s="61"/>
      <c r="AP178" s="75">
        <f t="shared" si="372"/>
        <v>0</v>
      </c>
      <c r="AR178" s="60">
        <f t="shared" si="373"/>
        <v>38263.278000000006</v>
      </c>
      <c r="AS178" s="60">
        <f t="shared" si="374"/>
        <v>0</v>
      </c>
      <c r="AT178" s="60">
        <f t="shared" si="375"/>
        <v>0</v>
      </c>
      <c r="AU178" s="60">
        <f t="shared" si="376"/>
        <v>0</v>
      </c>
      <c r="AV178" s="75">
        <f t="shared" si="377"/>
        <v>38263.278000000006</v>
      </c>
    </row>
    <row r="179" spans="1:48" x14ac:dyDescent="0.25">
      <c r="A179" s="32" t="s">
        <v>128</v>
      </c>
      <c r="B179" s="60">
        <f>174000*1.1</f>
        <v>191400.00000000003</v>
      </c>
      <c r="C179" s="63"/>
      <c r="D179" s="63"/>
      <c r="E179" s="63"/>
      <c r="F179" s="75">
        <f t="shared" si="366"/>
        <v>191400.00000000003</v>
      </c>
      <c r="H179" s="60">
        <f>174000*1.1</f>
        <v>191400.00000000003</v>
      </c>
      <c r="I179" s="63"/>
      <c r="J179" s="63"/>
      <c r="K179" s="63"/>
      <c r="L179" s="75">
        <f t="shared" si="367"/>
        <v>191400.00000000003</v>
      </c>
      <c r="N179" s="60">
        <f>425000*1.1</f>
        <v>467500.00000000006</v>
      </c>
      <c r="O179" s="63"/>
      <c r="P179" s="63"/>
      <c r="Q179" s="63"/>
      <c r="R179" s="75">
        <f t="shared" si="368"/>
        <v>467500.00000000006</v>
      </c>
      <c r="T179" s="60">
        <f>40000*1.15</f>
        <v>46000</v>
      </c>
      <c r="U179" s="63"/>
      <c r="V179" s="63"/>
      <c r="W179" s="63"/>
      <c r="X179" s="75">
        <f t="shared" si="369"/>
        <v>46000</v>
      </c>
      <c r="Y179" s="194"/>
      <c r="Z179" s="60">
        <v>50000</v>
      </c>
      <c r="AA179" s="63"/>
      <c r="AB179" s="63"/>
      <c r="AC179" s="63"/>
      <c r="AD179" s="75">
        <f t="shared" si="370"/>
        <v>50000</v>
      </c>
      <c r="AE179" s="194"/>
      <c r="AF179" s="60">
        <v>0</v>
      </c>
      <c r="AG179" s="63"/>
      <c r="AH179" s="63"/>
      <c r="AI179" s="63"/>
      <c r="AJ179" s="75">
        <f t="shared" si="371"/>
        <v>0</v>
      </c>
      <c r="AL179" s="60"/>
      <c r="AM179" s="61"/>
      <c r="AN179" s="61"/>
      <c r="AO179" s="61"/>
      <c r="AP179" s="75">
        <f t="shared" si="372"/>
        <v>0</v>
      </c>
      <c r="AR179" s="60">
        <f t="shared" si="373"/>
        <v>946300.00000000012</v>
      </c>
      <c r="AS179" s="60">
        <f t="shared" si="374"/>
        <v>0</v>
      </c>
      <c r="AT179" s="60">
        <f t="shared" si="375"/>
        <v>0</v>
      </c>
      <c r="AU179" s="60">
        <f t="shared" si="376"/>
        <v>0</v>
      </c>
      <c r="AV179" s="75">
        <f t="shared" si="377"/>
        <v>946300.00000000012</v>
      </c>
    </row>
    <row r="180" spans="1:48" x14ac:dyDescent="0.25">
      <c r="A180" s="32" t="s">
        <v>129</v>
      </c>
      <c r="B180" s="60">
        <v>0</v>
      </c>
      <c r="C180" s="63"/>
      <c r="D180" s="61">
        <f>2.55*950*180</f>
        <v>436050</v>
      </c>
      <c r="E180" s="63"/>
      <c r="F180" s="75">
        <f t="shared" si="366"/>
        <v>436050</v>
      </c>
      <c r="H180" s="60">
        <v>0</v>
      </c>
      <c r="I180" s="63"/>
      <c r="J180" s="61">
        <f>875*2.55*180</f>
        <v>401625</v>
      </c>
      <c r="K180" s="63"/>
      <c r="L180" s="75">
        <f t="shared" si="367"/>
        <v>401625</v>
      </c>
      <c r="N180" s="60">
        <v>0</v>
      </c>
      <c r="O180" s="63"/>
      <c r="P180" s="61">
        <f>1100*2.55*180</f>
        <v>504900</v>
      </c>
      <c r="Q180" s="63"/>
      <c r="R180" s="75">
        <f t="shared" si="368"/>
        <v>504900</v>
      </c>
      <c r="T180" s="60">
        <v>0</v>
      </c>
      <c r="U180" s="63"/>
      <c r="V180" s="61">
        <f>2.5*330*180</f>
        <v>148500</v>
      </c>
      <c r="W180" s="63"/>
      <c r="X180" s="75">
        <f t="shared" si="369"/>
        <v>148500</v>
      </c>
      <c r="Y180" s="194"/>
      <c r="Z180" s="60">
        <v>0</v>
      </c>
      <c r="AA180" s="63"/>
      <c r="AB180" s="61">
        <f>2.5*405*180</f>
        <v>182250</v>
      </c>
      <c r="AC180" s="63"/>
      <c r="AD180" s="75">
        <f t="shared" si="370"/>
        <v>182250</v>
      </c>
      <c r="AE180" s="194"/>
      <c r="AF180" s="60">
        <v>0</v>
      </c>
      <c r="AG180" s="63"/>
      <c r="AH180" s="61">
        <v>0</v>
      </c>
      <c r="AI180" s="63"/>
      <c r="AJ180" s="75">
        <f t="shared" si="371"/>
        <v>0</v>
      </c>
      <c r="AL180" s="60"/>
      <c r="AM180" s="61"/>
      <c r="AN180" s="61"/>
      <c r="AO180" s="61"/>
      <c r="AP180" s="75">
        <f t="shared" si="372"/>
        <v>0</v>
      </c>
      <c r="AR180" s="60">
        <f t="shared" si="373"/>
        <v>0</v>
      </c>
      <c r="AS180" s="60">
        <f t="shared" si="374"/>
        <v>0</v>
      </c>
      <c r="AT180" s="60">
        <f t="shared" si="375"/>
        <v>1673325</v>
      </c>
      <c r="AU180" s="60">
        <f t="shared" si="376"/>
        <v>0</v>
      </c>
      <c r="AV180" s="75">
        <f t="shared" si="377"/>
        <v>1673325</v>
      </c>
    </row>
    <row r="181" spans="1:48" x14ac:dyDescent="0.25">
      <c r="A181" s="32" t="s">
        <v>130</v>
      </c>
      <c r="B181" s="60">
        <v>0</v>
      </c>
      <c r="C181" s="63"/>
      <c r="D181" s="61">
        <f>805*3.96*180</f>
        <v>573804</v>
      </c>
      <c r="E181" s="63"/>
      <c r="F181" s="75">
        <f t="shared" si="366"/>
        <v>573804</v>
      </c>
      <c r="H181" s="60">
        <v>0</v>
      </c>
      <c r="I181" s="63"/>
      <c r="J181" s="61">
        <f>600*3.96*180</f>
        <v>427680</v>
      </c>
      <c r="K181" s="63"/>
      <c r="L181" s="75">
        <f t="shared" si="367"/>
        <v>427680</v>
      </c>
      <c r="N181" s="60">
        <v>0</v>
      </c>
      <c r="O181" s="63"/>
      <c r="P181" s="61">
        <f>1100*3.96*180</f>
        <v>784080</v>
      </c>
      <c r="Q181" s="63"/>
      <c r="R181" s="75">
        <f t="shared" si="368"/>
        <v>784080</v>
      </c>
      <c r="T181" s="60">
        <v>0</v>
      </c>
      <c r="U181" s="63"/>
      <c r="V181" s="61">
        <f>330*4*180</f>
        <v>237600</v>
      </c>
      <c r="W181" s="63"/>
      <c r="X181" s="75">
        <f t="shared" si="369"/>
        <v>237600</v>
      </c>
      <c r="Y181" s="194"/>
      <c r="Z181" s="60">
        <v>0</v>
      </c>
      <c r="AA181" s="63"/>
      <c r="AB181" s="61">
        <f>430*4*180</f>
        <v>309600</v>
      </c>
      <c r="AC181" s="63"/>
      <c r="AD181" s="75">
        <f t="shared" si="370"/>
        <v>309600</v>
      </c>
      <c r="AE181" s="194"/>
      <c r="AF181" s="60">
        <v>0</v>
      </c>
      <c r="AG181" s="63"/>
      <c r="AH181" s="61">
        <v>0</v>
      </c>
      <c r="AI181" s="63"/>
      <c r="AJ181" s="75">
        <f t="shared" si="371"/>
        <v>0</v>
      </c>
      <c r="AL181" s="60"/>
      <c r="AM181" s="61"/>
      <c r="AN181" s="61"/>
      <c r="AO181" s="61"/>
      <c r="AP181" s="75">
        <f t="shared" si="372"/>
        <v>0</v>
      </c>
      <c r="AR181" s="60">
        <f t="shared" si="373"/>
        <v>0</v>
      </c>
      <c r="AS181" s="60">
        <f t="shared" si="374"/>
        <v>0</v>
      </c>
      <c r="AT181" s="60">
        <f t="shared" si="375"/>
        <v>2332764</v>
      </c>
      <c r="AU181" s="60">
        <f t="shared" si="376"/>
        <v>0</v>
      </c>
      <c r="AV181" s="75">
        <f t="shared" si="377"/>
        <v>2332764</v>
      </c>
    </row>
    <row r="182" spans="1:48" x14ac:dyDescent="0.25">
      <c r="A182" s="32" t="s">
        <v>131</v>
      </c>
      <c r="B182" s="60">
        <f>5000+500</f>
        <v>5500</v>
      </c>
      <c r="C182" s="63"/>
      <c r="D182" s="63"/>
      <c r="E182" s="63"/>
      <c r="F182" s="75">
        <f t="shared" si="366"/>
        <v>5500</v>
      </c>
      <c r="H182" s="60">
        <f>5000+500</f>
        <v>5500</v>
      </c>
      <c r="I182" s="63"/>
      <c r="J182" s="63"/>
      <c r="K182" s="63"/>
      <c r="L182" s="75">
        <f t="shared" si="367"/>
        <v>5500</v>
      </c>
      <c r="N182" s="60">
        <f>6000+500</f>
        <v>6500</v>
      </c>
      <c r="O182" s="63"/>
      <c r="P182" s="63"/>
      <c r="Q182" s="63"/>
      <c r="R182" s="75">
        <f t="shared" si="368"/>
        <v>6500</v>
      </c>
      <c r="T182" s="60">
        <f>5000+2500</f>
        <v>7500</v>
      </c>
      <c r="U182" s="63"/>
      <c r="V182" s="63"/>
      <c r="W182" s="63"/>
      <c r="X182" s="75">
        <f t="shared" si="369"/>
        <v>7500</v>
      </c>
      <c r="Y182" s="194"/>
      <c r="Z182" s="60">
        <f>5000+2500</f>
        <v>7500</v>
      </c>
      <c r="AA182" s="63"/>
      <c r="AB182" s="63"/>
      <c r="AC182" s="63"/>
      <c r="AD182" s="75">
        <f t="shared" si="370"/>
        <v>7500</v>
      </c>
      <c r="AE182" s="194"/>
      <c r="AF182" s="60">
        <v>0</v>
      </c>
      <c r="AG182" s="63"/>
      <c r="AH182" s="63"/>
      <c r="AI182" s="63"/>
      <c r="AJ182" s="75">
        <f t="shared" si="371"/>
        <v>0</v>
      </c>
      <c r="AL182" s="60"/>
      <c r="AM182" s="61"/>
      <c r="AN182" s="61"/>
      <c r="AO182" s="61"/>
      <c r="AP182" s="75">
        <f t="shared" si="372"/>
        <v>0</v>
      </c>
      <c r="AR182" s="60">
        <f t="shared" si="373"/>
        <v>32500</v>
      </c>
      <c r="AS182" s="60">
        <f t="shared" si="374"/>
        <v>0</v>
      </c>
      <c r="AT182" s="60">
        <f t="shared" si="375"/>
        <v>0</v>
      </c>
      <c r="AU182" s="60">
        <f t="shared" si="376"/>
        <v>0</v>
      </c>
      <c r="AV182" s="75">
        <f t="shared" si="377"/>
        <v>32500</v>
      </c>
    </row>
    <row r="183" spans="1:48" x14ac:dyDescent="0.25">
      <c r="A183" s="32" t="s">
        <v>132</v>
      </c>
      <c r="B183" s="60">
        <f>1000+250</f>
        <v>1250</v>
      </c>
      <c r="C183" s="63"/>
      <c r="D183" s="63"/>
      <c r="E183" s="63"/>
      <c r="F183" s="75">
        <f t="shared" si="366"/>
        <v>1250</v>
      </c>
      <c r="H183" s="60">
        <f>1000+250</f>
        <v>1250</v>
      </c>
      <c r="I183" s="63"/>
      <c r="J183" s="63"/>
      <c r="K183" s="63"/>
      <c r="L183" s="75">
        <f t="shared" si="367"/>
        <v>1250</v>
      </c>
      <c r="N183" s="60">
        <f>2000+250</f>
        <v>2250</v>
      </c>
      <c r="O183" s="63"/>
      <c r="P183" s="63"/>
      <c r="Q183" s="63"/>
      <c r="R183" s="75">
        <f t="shared" si="368"/>
        <v>2250</v>
      </c>
      <c r="T183" s="60">
        <f>1000+100</f>
        <v>1100</v>
      </c>
      <c r="U183" s="63"/>
      <c r="V183" s="63"/>
      <c r="W183" s="63"/>
      <c r="X183" s="75">
        <f t="shared" si="369"/>
        <v>1100</v>
      </c>
      <c r="Y183" s="194"/>
      <c r="Z183" s="60">
        <f>1000+100</f>
        <v>1100</v>
      </c>
      <c r="AA183" s="63"/>
      <c r="AB183" s="63"/>
      <c r="AC183" s="63"/>
      <c r="AD183" s="75">
        <f t="shared" si="370"/>
        <v>1100</v>
      </c>
      <c r="AE183" s="194"/>
      <c r="AF183" s="60">
        <v>0</v>
      </c>
      <c r="AG183" s="63"/>
      <c r="AH183" s="63"/>
      <c r="AI183" s="63"/>
      <c r="AJ183" s="75">
        <f t="shared" si="371"/>
        <v>0</v>
      </c>
      <c r="AL183" s="60"/>
      <c r="AM183" s="61"/>
      <c r="AN183" s="61"/>
      <c r="AO183" s="61"/>
      <c r="AP183" s="75">
        <f t="shared" si="372"/>
        <v>0</v>
      </c>
      <c r="AR183" s="60">
        <f t="shared" si="373"/>
        <v>6950</v>
      </c>
      <c r="AS183" s="60">
        <f t="shared" si="374"/>
        <v>0</v>
      </c>
      <c r="AT183" s="60">
        <f t="shared" si="375"/>
        <v>0</v>
      </c>
      <c r="AU183" s="60">
        <f t="shared" si="376"/>
        <v>0</v>
      </c>
      <c r="AV183" s="75">
        <f t="shared" si="377"/>
        <v>6950</v>
      </c>
    </row>
    <row r="184" spans="1:48" x14ac:dyDescent="0.25">
      <c r="A184" s="32" t="s">
        <v>133</v>
      </c>
      <c r="B184" s="60">
        <f>1000+100</f>
        <v>1100</v>
      </c>
      <c r="C184" s="63"/>
      <c r="D184" s="63"/>
      <c r="E184" s="63"/>
      <c r="F184" s="75">
        <f t="shared" si="366"/>
        <v>1100</v>
      </c>
      <c r="H184" s="60">
        <f>1000+100</f>
        <v>1100</v>
      </c>
      <c r="I184" s="63"/>
      <c r="J184" s="63"/>
      <c r="K184" s="63"/>
      <c r="L184" s="75">
        <f t="shared" si="367"/>
        <v>1100</v>
      </c>
      <c r="N184" s="60">
        <f>2000+200</f>
        <v>2200</v>
      </c>
      <c r="O184" s="63"/>
      <c r="P184" s="63"/>
      <c r="Q184" s="63"/>
      <c r="R184" s="75">
        <f t="shared" si="368"/>
        <v>2200</v>
      </c>
      <c r="T184" s="60">
        <f>1000+100</f>
        <v>1100</v>
      </c>
      <c r="U184" s="63"/>
      <c r="V184" s="63"/>
      <c r="W184" s="63"/>
      <c r="X184" s="75">
        <f t="shared" si="369"/>
        <v>1100</v>
      </c>
      <c r="Y184" s="194"/>
      <c r="Z184" s="60">
        <f>1000+100</f>
        <v>1100</v>
      </c>
      <c r="AA184" s="63"/>
      <c r="AB184" s="63"/>
      <c r="AC184" s="63"/>
      <c r="AD184" s="75">
        <f t="shared" si="370"/>
        <v>1100</v>
      </c>
      <c r="AE184" s="194"/>
      <c r="AF184" s="60">
        <v>0</v>
      </c>
      <c r="AG184" s="63"/>
      <c r="AH184" s="63"/>
      <c r="AI184" s="63"/>
      <c r="AJ184" s="75">
        <f t="shared" si="371"/>
        <v>0</v>
      </c>
      <c r="AL184" s="60"/>
      <c r="AM184" s="61"/>
      <c r="AN184" s="61"/>
      <c r="AO184" s="61"/>
      <c r="AP184" s="75">
        <f t="shared" si="372"/>
        <v>0</v>
      </c>
      <c r="AR184" s="60">
        <f t="shared" si="373"/>
        <v>6600</v>
      </c>
      <c r="AS184" s="60">
        <f t="shared" si="374"/>
        <v>0</v>
      </c>
      <c r="AT184" s="60">
        <f t="shared" si="375"/>
        <v>0</v>
      </c>
      <c r="AU184" s="60">
        <f t="shared" si="376"/>
        <v>0</v>
      </c>
      <c r="AV184" s="75">
        <f t="shared" si="377"/>
        <v>6600</v>
      </c>
    </row>
    <row r="185" spans="1:48" x14ac:dyDescent="0.25">
      <c r="A185" s="32" t="s">
        <v>134</v>
      </c>
      <c r="B185" s="63">
        <f>(8*1050)+1200+3000+4500</f>
        <v>17100</v>
      </c>
      <c r="C185" s="63"/>
      <c r="D185" s="63"/>
      <c r="E185" s="63"/>
      <c r="F185" s="75">
        <f t="shared" si="366"/>
        <v>17100</v>
      </c>
      <c r="H185" s="63">
        <f>(8*1050)+1200+3000+5500</f>
        <v>18100</v>
      </c>
      <c r="I185" s="63"/>
      <c r="J185" s="63"/>
      <c r="K185" s="63"/>
      <c r="L185" s="75">
        <f t="shared" si="367"/>
        <v>18100</v>
      </c>
      <c r="N185" s="63">
        <f>(8*2500)+1200+3000+5500+8000</f>
        <v>37700</v>
      </c>
      <c r="O185" s="63"/>
      <c r="P185" s="63"/>
      <c r="Q185" s="63"/>
      <c r="R185" s="75">
        <f t="shared" si="368"/>
        <v>37700</v>
      </c>
      <c r="T185" s="63">
        <f>((8*1050)+1200+3500)*1.03</f>
        <v>13493</v>
      </c>
      <c r="U185" s="63"/>
      <c r="V185" s="63"/>
      <c r="W185" s="63"/>
      <c r="X185" s="75">
        <f t="shared" si="369"/>
        <v>13493</v>
      </c>
      <c r="Y185" s="194"/>
      <c r="Z185" s="63">
        <f>((8*1050)+1200+3500)*1.03</f>
        <v>13493</v>
      </c>
      <c r="AA185" s="63"/>
      <c r="AB185" s="63"/>
      <c r="AC185" s="63"/>
      <c r="AD185" s="75">
        <f t="shared" si="370"/>
        <v>13493</v>
      </c>
      <c r="AE185" s="194"/>
      <c r="AF185" s="63">
        <v>0</v>
      </c>
      <c r="AG185" s="63"/>
      <c r="AH185" s="63"/>
      <c r="AI185" s="63"/>
      <c r="AJ185" s="75">
        <f t="shared" si="371"/>
        <v>0</v>
      </c>
      <c r="AL185" s="61"/>
      <c r="AM185" s="61"/>
      <c r="AN185" s="61"/>
      <c r="AO185" s="61"/>
      <c r="AP185" s="75">
        <f t="shared" si="372"/>
        <v>0</v>
      </c>
      <c r="AR185" s="60">
        <f t="shared" si="373"/>
        <v>99886</v>
      </c>
      <c r="AS185" s="60">
        <f t="shared" si="374"/>
        <v>0</v>
      </c>
      <c r="AT185" s="60">
        <f t="shared" si="375"/>
        <v>0</v>
      </c>
      <c r="AU185" s="60">
        <f t="shared" si="376"/>
        <v>0</v>
      </c>
      <c r="AV185" s="75">
        <f t="shared" si="377"/>
        <v>99886</v>
      </c>
    </row>
    <row r="186" spans="1:48" x14ac:dyDescent="0.25">
      <c r="A186" s="32" t="s">
        <v>135</v>
      </c>
      <c r="B186" s="63"/>
      <c r="C186" s="63"/>
      <c r="D186" s="63"/>
      <c r="E186" s="63"/>
      <c r="F186" s="75">
        <f t="shared" si="366"/>
        <v>0</v>
      </c>
      <c r="H186" s="63"/>
      <c r="I186" s="63"/>
      <c r="J186" s="63"/>
      <c r="K186" s="63"/>
      <c r="L186" s="75">
        <f t="shared" si="367"/>
        <v>0</v>
      </c>
      <c r="N186" s="63">
        <v>70000</v>
      </c>
      <c r="O186" s="63"/>
      <c r="P186" s="63"/>
      <c r="Q186" s="63"/>
      <c r="R186" s="75">
        <f t="shared" si="368"/>
        <v>70000</v>
      </c>
      <c r="T186" s="63"/>
      <c r="U186" s="63"/>
      <c r="V186" s="63"/>
      <c r="W186" s="63"/>
      <c r="X186" s="75">
        <f t="shared" si="369"/>
        <v>0</v>
      </c>
      <c r="Y186" s="194"/>
      <c r="Z186" s="63"/>
      <c r="AA186" s="63"/>
      <c r="AB186" s="63"/>
      <c r="AC186" s="63"/>
      <c r="AD186" s="75">
        <f t="shared" si="370"/>
        <v>0</v>
      </c>
      <c r="AE186" s="194"/>
      <c r="AF186" s="63">
        <v>0</v>
      </c>
      <c r="AG186" s="63"/>
      <c r="AH186" s="63"/>
      <c r="AI186" s="63"/>
      <c r="AJ186" s="75">
        <f t="shared" si="371"/>
        <v>0</v>
      </c>
      <c r="AL186" s="61"/>
      <c r="AM186" s="61"/>
      <c r="AN186" s="61"/>
      <c r="AO186" s="61"/>
      <c r="AP186" s="75">
        <f t="shared" si="372"/>
        <v>0</v>
      </c>
      <c r="AR186" s="60">
        <f t="shared" si="373"/>
        <v>70000</v>
      </c>
      <c r="AS186" s="60">
        <f t="shared" si="374"/>
        <v>0</v>
      </c>
      <c r="AT186" s="60">
        <f t="shared" si="375"/>
        <v>0</v>
      </c>
      <c r="AU186" s="60">
        <f t="shared" si="376"/>
        <v>0</v>
      </c>
      <c r="AV186" s="75">
        <f t="shared" si="377"/>
        <v>70000</v>
      </c>
    </row>
    <row r="187" spans="1:48" x14ac:dyDescent="0.25">
      <c r="A187" s="32" t="s">
        <v>136</v>
      </c>
      <c r="B187" s="63"/>
      <c r="C187" s="63"/>
      <c r="D187" s="63"/>
      <c r="E187" s="63"/>
      <c r="F187" s="75">
        <f t="shared" si="366"/>
        <v>0</v>
      </c>
      <c r="H187" s="63"/>
      <c r="I187" s="63"/>
      <c r="J187" s="63"/>
      <c r="K187" s="63"/>
      <c r="L187" s="75">
        <f t="shared" si="367"/>
        <v>0</v>
      </c>
      <c r="N187" s="63"/>
      <c r="O187" s="63"/>
      <c r="P187" s="63"/>
      <c r="Q187" s="63"/>
      <c r="R187" s="75">
        <f t="shared" si="368"/>
        <v>0</v>
      </c>
      <c r="T187" s="63"/>
      <c r="U187" s="63"/>
      <c r="V187" s="63"/>
      <c r="W187" s="63"/>
      <c r="X187" s="75">
        <f t="shared" si="369"/>
        <v>0</v>
      </c>
      <c r="Y187" s="194"/>
      <c r="Z187" s="63"/>
      <c r="AA187" s="63"/>
      <c r="AB187" s="63"/>
      <c r="AC187" s="63"/>
      <c r="AD187" s="75">
        <f t="shared" si="370"/>
        <v>0</v>
      </c>
      <c r="AE187" s="194"/>
      <c r="AF187" s="63"/>
      <c r="AG187" s="63"/>
      <c r="AH187" s="63"/>
      <c r="AI187" s="63"/>
      <c r="AJ187" s="75">
        <f t="shared" si="371"/>
        <v>0</v>
      </c>
      <c r="AL187" s="61"/>
      <c r="AM187" s="61"/>
      <c r="AN187" s="61"/>
      <c r="AO187" s="61"/>
      <c r="AP187" s="75">
        <f t="shared" si="372"/>
        <v>0</v>
      </c>
      <c r="AR187" s="60">
        <f t="shared" si="373"/>
        <v>0</v>
      </c>
      <c r="AS187" s="60">
        <f t="shared" si="374"/>
        <v>0</v>
      </c>
      <c r="AT187" s="60">
        <f t="shared" si="375"/>
        <v>0</v>
      </c>
      <c r="AU187" s="60">
        <f t="shared" si="376"/>
        <v>0</v>
      </c>
      <c r="AV187" s="75">
        <f t="shared" si="377"/>
        <v>0</v>
      </c>
    </row>
    <row r="188" spans="1:48" x14ac:dyDescent="0.25">
      <c r="A188" s="32" t="s">
        <v>137</v>
      </c>
      <c r="B188" s="63">
        <v>0</v>
      </c>
      <c r="C188" s="63"/>
      <c r="D188" s="63"/>
      <c r="E188" s="63"/>
      <c r="F188" s="75">
        <f t="shared" si="366"/>
        <v>0</v>
      </c>
      <c r="H188" s="63">
        <v>0</v>
      </c>
      <c r="I188" s="63"/>
      <c r="J188" s="63"/>
      <c r="K188" s="63"/>
      <c r="L188" s="75">
        <f t="shared" si="367"/>
        <v>0</v>
      </c>
      <c r="N188" s="63">
        <f>86100+205000</f>
        <v>291100</v>
      </c>
      <c r="O188" s="63"/>
      <c r="P188" s="63"/>
      <c r="Q188" s="63"/>
      <c r="R188" s="75">
        <f t="shared" si="368"/>
        <v>291100</v>
      </c>
      <c r="T188" s="63">
        <v>0</v>
      </c>
      <c r="U188" s="63"/>
      <c r="V188" s="63"/>
      <c r="W188" s="63"/>
      <c r="X188" s="75">
        <f t="shared" si="369"/>
        <v>0</v>
      </c>
      <c r="Y188" s="194"/>
      <c r="Z188" s="218">
        <v>67500</v>
      </c>
      <c r="AA188" s="63"/>
      <c r="AB188" s="63"/>
      <c r="AC188" s="63"/>
      <c r="AD188" s="75">
        <f t="shared" si="370"/>
        <v>67500</v>
      </c>
      <c r="AE188" s="194"/>
      <c r="AF188" s="63">
        <v>0</v>
      </c>
      <c r="AG188" s="63"/>
      <c r="AH188" s="63"/>
      <c r="AI188" s="63"/>
      <c r="AJ188" s="75">
        <f t="shared" si="371"/>
        <v>0</v>
      </c>
      <c r="AL188" s="61"/>
      <c r="AM188" s="61"/>
      <c r="AN188" s="61"/>
      <c r="AO188" s="61"/>
      <c r="AP188" s="75">
        <f t="shared" si="372"/>
        <v>0</v>
      </c>
      <c r="AR188" s="60">
        <f t="shared" si="373"/>
        <v>358600</v>
      </c>
      <c r="AS188" s="60">
        <f t="shared" si="374"/>
        <v>0</v>
      </c>
      <c r="AT188" s="60">
        <f t="shared" si="375"/>
        <v>0</v>
      </c>
      <c r="AU188" s="60">
        <f t="shared" si="376"/>
        <v>0</v>
      </c>
      <c r="AV188" s="75">
        <f t="shared" si="377"/>
        <v>358600</v>
      </c>
    </row>
    <row r="189" spans="1:48" x14ac:dyDescent="0.25">
      <c r="A189" s="32" t="s">
        <v>138</v>
      </c>
      <c r="B189" s="63"/>
      <c r="C189" s="63"/>
      <c r="D189" s="63"/>
      <c r="E189" s="63"/>
      <c r="F189" s="75">
        <f t="shared" si="366"/>
        <v>0</v>
      </c>
      <c r="H189" s="63"/>
      <c r="I189" s="63"/>
      <c r="J189" s="63"/>
      <c r="K189" s="63"/>
      <c r="L189" s="75">
        <f t="shared" si="367"/>
        <v>0</v>
      </c>
      <c r="N189" s="63"/>
      <c r="O189" s="63"/>
      <c r="P189" s="63"/>
      <c r="Q189" s="63"/>
      <c r="R189" s="75">
        <f t="shared" si="368"/>
        <v>0</v>
      </c>
      <c r="T189" s="63"/>
      <c r="U189" s="63"/>
      <c r="V189" s="63"/>
      <c r="W189" s="63"/>
      <c r="X189" s="75">
        <f t="shared" si="369"/>
        <v>0</v>
      </c>
      <c r="Y189" s="194"/>
      <c r="Z189" s="63"/>
      <c r="AA189" s="63"/>
      <c r="AB189" s="63"/>
      <c r="AC189" s="63"/>
      <c r="AD189" s="75">
        <f t="shared" si="370"/>
        <v>0</v>
      </c>
      <c r="AE189" s="194"/>
      <c r="AF189" s="63"/>
      <c r="AG189" s="63"/>
      <c r="AH189" s="63"/>
      <c r="AI189" s="63"/>
      <c r="AJ189" s="75">
        <f t="shared" si="371"/>
        <v>0</v>
      </c>
      <c r="AL189" s="61"/>
      <c r="AM189" s="61"/>
      <c r="AN189" s="61"/>
      <c r="AO189" s="61"/>
      <c r="AP189" s="75">
        <f t="shared" si="372"/>
        <v>0</v>
      </c>
      <c r="AR189" s="60">
        <f t="shared" si="373"/>
        <v>0</v>
      </c>
      <c r="AS189" s="60">
        <f t="shared" si="374"/>
        <v>0</v>
      </c>
      <c r="AT189" s="60">
        <f t="shared" si="375"/>
        <v>0</v>
      </c>
      <c r="AU189" s="60">
        <f t="shared" si="376"/>
        <v>0</v>
      </c>
      <c r="AV189" s="75">
        <f t="shared" si="377"/>
        <v>0</v>
      </c>
    </row>
    <row r="190" spans="1:48" x14ac:dyDescent="0.25">
      <c r="A190" s="32" t="s">
        <v>139</v>
      </c>
      <c r="B190" s="63"/>
      <c r="C190" s="63"/>
      <c r="D190" s="63"/>
      <c r="E190" s="63"/>
      <c r="F190" s="75">
        <f t="shared" si="366"/>
        <v>0</v>
      </c>
      <c r="H190" s="63"/>
      <c r="I190" s="63"/>
      <c r="J190" s="63"/>
      <c r="K190" s="63"/>
      <c r="L190" s="75">
        <f t="shared" si="367"/>
        <v>0</v>
      </c>
      <c r="N190" s="63"/>
      <c r="O190" s="63"/>
      <c r="P190" s="63"/>
      <c r="Q190" s="63"/>
      <c r="R190" s="75">
        <f t="shared" si="368"/>
        <v>0</v>
      </c>
      <c r="T190" s="63"/>
      <c r="U190" s="63"/>
      <c r="V190" s="63"/>
      <c r="W190" s="63"/>
      <c r="X190" s="75">
        <f t="shared" si="369"/>
        <v>0</v>
      </c>
      <c r="Y190" s="194"/>
      <c r="Z190" s="63"/>
      <c r="AA190" s="63"/>
      <c r="AB190" s="63"/>
      <c r="AC190" s="63"/>
      <c r="AD190" s="75">
        <f t="shared" si="370"/>
        <v>0</v>
      </c>
      <c r="AE190" s="194"/>
      <c r="AF190" s="63"/>
      <c r="AG190" s="63"/>
      <c r="AH190" s="63"/>
      <c r="AI190" s="63"/>
      <c r="AJ190" s="75">
        <f t="shared" si="371"/>
        <v>0</v>
      </c>
      <c r="AL190" s="61"/>
      <c r="AM190" s="61"/>
      <c r="AN190" s="61"/>
      <c r="AO190" s="61"/>
      <c r="AP190" s="75">
        <f t="shared" si="372"/>
        <v>0</v>
      </c>
      <c r="AR190" s="60">
        <f t="shared" si="373"/>
        <v>0</v>
      </c>
      <c r="AS190" s="60">
        <f t="shared" si="374"/>
        <v>0</v>
      </c>
      <c r="AT190" s="60">
        <f t="shared" si="375"/>
        <v>0</v>
      </c>
      <c r="AU190" s="60">
        <f t="shared" si="376"/>
        <v>0</v>
      </c>
      <c r="AV190" s="75">
        <f t="shared" si="377"/>
        <v>0</v>
      </c>
    </row>
    <row r="191" spans="1:48" x14ac:dyDescent="0.25">
      <c r="A191" s="32" t="s">
        <v>140</v>
      </c>
      <c r="B191" s="63"/>
      <c r="C191" s="63"/>
      <c r="D191" s="63"/>
      <c r="E191" s="63"/>
      <c r="F191" s="75">
        <f t="shared" si="366"/>
        <v>0</v>
      </c>
      <c r="H191" s="63"/>
      <c r="I191" s="63"/>
      <c r="J191" s="63"/>
      <c r="K191" s="63"/>
      <c r="L191" s="75">
        <f t="shared" si="367"/>
        <v>0</v>
      </c>
      <c r="N191" s="63"/>
      <c r="O191" s="63"/>
      <c r="P191" s="63"/>
      <c r="Q191" s="63"/>
      <c r="R191" s="75">
        <f t="shared" si="368"/>
        <v>0</v>
      </c>
      <c r="T191" s="63"/>
      <c r="U191" s="63"/>
      <c r="V191" s="63"/>
      <c r="W191" s="63"/>
      <c r="X191" s="75">
        <f t="shared" si="369"/>
        <v>0</v>
      </c>
      <c r="Y191" s="194"/>
      <c r="Z191" s="63"/>
      <c r="AA191" s="63"/>
      <c r="AB191" s="63"/>
      <c r="AC191" s="63"/>
      <c r="AD191" s="75">
        <f t="shared" si="370"/>
        <v>0</v>
      </c>
      <c r="AE191" s="194"/>
      <c r="AF191" s="63"/>
      <c r="AG191" s="63"/>
      <c r="AH191" s="63"/>
      <c r="AI191" s="63"/>
      <c r="AJ191" s="75">
        <f t="shared" si="371"/>
        <v>0</v>
      </c>
      <c r="AL191" s="61"/>
      <c r="AM191" s="61"/>
      <c r="AN191" s="61"/>
      <c r="AO191" s="61"/>
      <c r="AP191" s="75">
        <f t="shared" si="372"/>
        <v>0</v>
      </c>
      <c r="AR191" s="60">
        <f t="shared" si="373"/>
        <v>0</v>
      </c>
      <c r="AS191" s="60">
        <f t="shared" si="374"/>
        <v>0</v>
      </c>
      <c r="AT191" s="60">
        <f t="shared" si="375"/>
        <v>0</v>
      </c>
      <c r="AU191" s="60">
        <f t="shared" si="376"/>
        <v>0</v>
      </c>
      <c r="AV191" s="75">
        <f t="shared" si="377"/>
        <v>0</v>
      </c>
    </row>
    <row r="192" spans="1:48" x14ac:dyDescent="0.25">
      <c r="A192" s="32" t="s">
        <v>141</v>
      </c>
      <c r="B192" s="63">
        <v>7500</v>
      </c>
      <c r="C192" s="63"/>
      <c r="D192" s="63"/>
      <c r="E192" s="63"/>
      <c r="F192" s="75">
        <f t="shared" si="366"/>
        <v>7500</v>
      </c>
      <c r="H192" s="63">
        <v>7500</v>
      </c>
      <c r="I192" s="63"/>
      <c r="J192" s="63"/>
      <c r="K192" s="63"/>
      <c r="L192" s="75">
        <f t="shared" si="367"/>
        <v>7500</v>
      </c>
      <c r="N192" s="61">
        <v>12500</v>
      </c>
      <c r="O192" s="63"/>
      <c r="P192" s="63"/>
      <c r="Q192" s="63"/>
      <c r="R192" s="75">
        <f t="shared" si="368"/>
        <v>12500</v>
      </c>
      <c r="T192" s="63">
        <v>2000</v>
      </c>
      <c r="U192" s="63"/>
      <c r="V192" s="63"/>
      <c r="W192" s="63"/>
      <c r="X192" s="75">
        <f t="shared" si="369"/>
        <v>2000</v>
      </c>
      <c r="Y192" s="194"/>
      <c r="Z192" s="63">
        <v>2000</v>
      </c>
      <c r="AA192" s="63"/>
      <c r="AB192" s="63"/>
      <c r="AC192" s="63"/>
      <c r="AD192" s="75">
        <f t="shared" si="370"/>
        <v>2000</v>
      </c>
      <c r="AE192" s="194"/>
      <c r="AF192" s="63">
        <v>0</v>
      </c>
      <c r="AG192" s="63"/>
      <c r="AH192" s="63"/>
      <c r="AI192" s="63"/>
      <c r="AJ192" s="75">
        <f t="shared" si="371"/>
        <v>0</v>
      </c>
      <c r="AL192" s="61"/>
      <c r="AM192" s="61"/>
      <c r="AN192" s="61"/>
      <c r="AO192" s="61">
        <v>10000</v>
      </c>
      <c r="AP192" s="75">
        <f t="shared" si="372"/>
        <v>10000</v>
      </c>
      <c r="AR192" s="60">
        <f t="shared" si="373"/>
        <v>31500</v>
      </c>
      <c r="AS192" s="60">
        <f t="shared" si="374"/>
        <v>0</v>
      </c>
      <c r="AT192" s="60">
        <f t="shared" si="375"/>
        <v>0</v>
      </c>
      <c r="AU192" s="60">
        <f t="shared" si="376"/>
        <v>10000</v>
      </c>
      <c r="AV192" s="75">
        <f t="shared" si="377"/>
        <v>41500</v>
      </c>
    </row>
    <row r="193" spans="1:49" x14ac:dyDescent="0.25">
      <c r="A193" s="33" t="s">
        <v>142</v>
      </c>
      <c r="B193" s="64">
        <f>B68*0.0125</f>
        <v>121895.1</v>
      </c>
      <c r="C193" s="64"/>
      <c r="D193" s="64"/>
      <c r="E193" s="64"/>
      <c r="F193" s="75">
        <f t="shared" si="366"/>
        <v>121895.1</v>
      </c>
      <c r="H193" s="64">
        <f>H68*0.0125</f>
        <v>121895.1</v>
      </c>
      <c r="I193" s="64"/>
      <c r="J193" s="64"/>
      <c r="K193" s="64"/>
      <c r="L193" s="75">
        <f t="shared" si="367"/>
        <v>121895.1</v>
      </c>
      <c r="N193" s="64">
        <f>N68*0.0125</f>
        <v>291575.92499999999</v>
      </c>
      <c r="O193" s="64"/>
      <c r="P193" s="64"/>
      <c r="Q193" s="64"/>
      <c r="R193" s="75">
        <f t="shared" si="368"/>
        <v>291575.92499999999</v>
      </c>
      <c r="T193" s="64">
        <f>T68*0</f>
        <v>0</v>
      </c>
      <c r="U193" s="64"/>
      <c r="V193" s="64"/>
      <c r="W193" s="64"/>
      <c r="X193" s="75">
        <f t="shared" si="369"/>
        <v>0</v>
      </c>
      <c r="Y193" s="194"/>
      <c r="Z193" s="64">
        <f>Z68*0</f>
        <v>0</v>
      </c>
      <c r="AA193" s="64"/>
      <c r="AB193" s="64"/>
      <c r="AC193" s="64"/>
      <c r="AD193" s="75">
        <f t="shared" si="370"/>
        <v>0</v>
      </c>
      <c r="AE193" s="194"/>
      <c r="AF193" s="64">
        <f>AF68*0</f>
        <v>0</v>
      </c>
      <c r="AG193" s="64"/>
      <c r="AH193" s="64"/>
      <c r="AI193" s="64"/>
      <c r="AJ193" s="75">
        <f t="shared" si="371"/>
        <v>0</v>
      </c>
      <c r="AL193" s="91"/>
      <c r="AM193" s="91"/>
      <c r="AN193" s="91"/>
      <c r="AO193" s="91"/>
      <c r="AP193" s="75">
        <f t="shared" si="372"/>
        <v>0</v>
      </c>
      <c r="AR193" s="60">
        <f t="shared" si="373"/>
        <v>535366.125</v>
      </c>
      <c r="AS193" s="60">
        <f t="shared" si="374"/>
        <v>0</v>
      </c>
      <c r="AT193" s="60">
        <f t="shared" si="375"/>
        <v>0</v>
      </c>
      <c r="AU193" s="60">
        <f t="shared" si="376"/>
        <v>0</v>
      </c>
      <c r="AV193" s="75">
        <f t="shared" si="377"/>
        <v>535366.125</v>
      </c>
      <c r="AW193" s="94">
        <f>AV193/AR68</f>
        <v>1.030445499360964E-2</v>
      </c>
    </row>
    <row r="194" spans="1:49" x14ac:dyDescent="0.25">
      <c r="A194" s="34"/>
      <c r="B194" s="76">
        <f>SUM(B174:B193)</f>
        <v>413229.73600000003</v>
      </c>
      <c r="C194" s="76">
        <f t="shared" ref="C194:F194" si="378">SUM(C174:C193)</f>
        <v>0</v>
      </c>
      <c r="D194" s="76">
        <f t="shared" si="378"/>
        <v>1009854</v>
      </c>
      <c r="E194" s="76">
        <f t="shared" si="378"/>
        <v>0</v>
      </c>
      <c r="F194" s="76">
        <f t="shared" si="378"/>
        <v>1423083.736</v>
      </c>
      <c r="H194" s="76">
        <f>SUM(H174:H193)</f>
        <v>414033.31799999997</v>
      </c>
      <c r="I194" s="76">
        <f t="shared" ref="I194:L194" si="379">SUM(I174:I193)</f>
        <v>0</v>
      </c>
      <c r="J194" s="76">
        <f t="shared" si="379"/>
        <v>829305</v>
      </c>
      <c r="K194" s="76">
        <f t="shared" si="379"/>
        <v>0</v>
      </c>
      <c r="L194" s="76">
        <f t="shared" si="379"/>
        <v>1243338.318</v>
      </c>
      <c r="N194" s="76">
        <f>SUM(N174:N193)</f>
        <v>1338246.9580000001</v>
      </c>
      <c r="O194" s="76">
        <f t="shared" ref="O194:R194" si="380">SUM(O174:O193)</f>
        <v>0</v>
      </c>
      <c r="P194" s="76">
        <f t="shared" si="380"/>
        <v>1288980</v>
      </c>
      <c r="Q194" s="76">
        <f t="shared" si="380"/>
        <v>0</v>
      </c>
      <c r="R194" s="76">
        <f t="shared" si="380"/>
        <v>2627226.9579999996</v>
      </c>
      <c r="T194" s="76">
        <f>SUM(T174:T193)</f>
        <v>116446.7815</v>
      </c>
      <c r="U194" s="76">
        <f t="shared" ref="U194:W194" si="381">SUM(U174:U193)</f>
        <v>0</v>
      </c>
      <c r="V194" s="76">
        <f t="shared" si="381"/>
        <v>386100</v>
      </c>
      <c r="W194" s="76">
        <f t="shared" si="381"/>
        <v>0</v>
      </c>
      <c r="X194" s="76">
        <f t="shared" ref="X194" si="382">SUM(X174:X193)</f>
        <v>502546.78149999998</v>
      </c>
      <c r="Y194" s="199"/>
      <c r="Z194" s="76">
        <f>SUM(Z174:Z193)</f>
        <v>187213.00949999999</v>
      </c>
      <c r="AA194" s="76">
        <f t="shared" ref="AA194:AD194" si="383">SUM(AA174:AA193)</f>
        <v>0</v>
      </c>
      <c r="AB194" s="76">
        <f t="shared" si="383"/>
        <v>491850</v>
      </c>
      <c r="AC194" s="76">
        <f t="shared" si="383"/>
        <v>0</v>
      </c>
      <c r="AD194" s="76">
        <f t="shared" si="383"/>
        <v>679063.00949999993</v>
      </c>
      <c r="AE194" s="199"/>
      <c r="AF194" s="76">
        <f>SUM(AF174:AF193)</f>
        <v>0</v>
      </c>
      <c r="AG194" s="76">
        <f t="shared" ref="AG194:AJ194" si="384">SUM(AG174:AG193)</f>
        <v>0</v>
      </c>
      <c r="AH194" s="76">
        <f t="shared" si="384"/>
        <v>0</v>
      </c>
      <c r="AI194" s="76">
        <f t="shared" si="384"/>
        <v>0</v>
      </c>
      <c r="AJ194" s="76">
        <f t="shared" si="384"/>
        <v>0</v>
      </c>
      <c r="AL194" s="76">
        <f>SUM(AL174:AL193)</f>
        <v>0</v>
      </c>
      <c r="AM194" s="76">
        <f t="shared" ref="AM194:AN194" si="385">SUM(AM174:AM193)</f>
        <v>0</v>
      </c>
      <c r="AN194" s="76">
        <f t="shared" si="385"/>
        <v>0</v>
      </c>
      <c r="AO194" s="76">
        <f t="shared" ref="AO194" si="386">SUM(AO174:AO193)</f>
        <v>10000</v>
      </c>
      <c r="AP194" s="76">
        <f t="shared" ref="AP194" si="387">SUM(AP174:AP193)</f>
        <v>10000</v>
      </c>
      <c r="AR194" s="76">
        <f>SUM(AR174:AR193)</f>
        <v>2469169.8030000003</v>
      </c>
      <c r="AS194" s="76">
        <f t="shared" ref="AS194:AV194" si="388">SUM(AS174:AS193)</f>
        <v>0</v>
      </c>
      <c r="AT194" s="76">
        <f t="shared" si="388"/>
        <v>4006089</v>
      </c>
      <c r="AU194" s="76">
        <f t="shared" si="388"/>
        <v>10000</v>
      </c>
      <c r="AV194" s="76">
        <f t="shared" si="388"/>
        <v>6485258.8030000003</v>
      </c>
    </row>
    <row r="195" spans="1:49" x14ac:dyDescent="0.25">
      <c r="B195" s="77"/>
      <c r="C195" s="77"/>
      <c r="D195" s="77"/>
      <c r="E195" s="77"/>
      <c r="F195" s="77"/>
      <c r="H195" s="77"/>
      <c r="I195" s="77"/>
      <c r="J195" s="77"/>
      <c r="K195" s="77"/>
      <c r="L195" s="77"/>
      <c r="N195" s="77"/>
      <c r="O195" s="77"/>
      <c r="P195" s="77"/>
      <c r="Q195" s="77"/>
      <c r="R195" s="77"/>
      <c r="T195" s="77"/>
      <c r="U195" s="77"/>
      <c r="V195" s="77"/>
      <c r="W195" s="77"/>
      <c r="X195" s="77"/>
      <c r="Y195" s="79"/>
      <c r="Z195" s="77"/>
      <c r="AA195" s="77"/>
      <c r="AB195" s="77"/>
      <c r="AC195" s="77"/>
      <c r="AD195" s="77"/>
      <c r="AE195" s="79"/>
      <c r="AF195" s="77"/>
      <c r="AG195" s="77"/>
      <c r="AH195" s="77"/>
      <c r="AI195" s="77"/>
      <c r="AJ195" s="77"/>
      <c r="AL195" s="77"/>
      <c r="AM195" s="77"/>
      <c r="AN195" s="77"/>
      <c r="AO195" s="77"/>
      <c r="AP195" s="77"/>
      <c r="AR195" s="77"/>
      <c r="AS195" s="77"/>
      <c r="AT195" s="77"/>
      <c r="AU195" s="77"/>
      <c r="AV195" s="77"/>
    </row>
    <row r="196" spans="1:49" x14ac:dyDescent="0.25">
      <c r="A196" s="28"/>
      <c r="B196" s="78" t="s">
        <v>157</v>
      </c>
      <c r="C196" s="78" t="s">
        <v>158</v>
      </c>
      <c r="D196" s="78" t="s">
        <v>159</v>
      </c>
      <c r="E196" s="78" t="str">
        <f>E173</f>
        <v>Other</v>
      </c>
      <c r="F196" s="78" t="str">
        <f>F173</f>
        <v>FY27- Mtn</v>
      </c>
      <c r="H196" s="78" t="s">
        <v>157</v>
      </c>
      <c r="I196" s="78" t="s">
        <v>158</v>
      </c>
      <c r="J196" s="78" t="s">
        <v>159</v>
      </c>
      <c r="K196" s="78" t="str">
        <f>K173</f>
        <v>Other</v>
      </c>
      <c r="L196" s="78" t="str">
        <f>L173</f>
        <v>FY27- Bon</v>
      </c>
      <c r="N196" s="78" t="s">
        <v>157</v>
      </c>
      <c r="O196" s="78" t="s">
        <v>158</v>
      </c>
      <c r="P196" s="78" t="s">
        <v>159</v>
      </c>
      <c r="Q196" s="78" t="str">
        <f>Q173</f>
        <v>Other</v>
      </c>
      <c r="R196" s="78" t="str">
        <f>R173</f>
        <v>FY27- East</v>
      </c>
      <c r="T196" s="78" t="s">
        <v>157</v>
      </c>
      <c r="U196" s="78" t="s">
        <v>158</v>
      </c>
      <c r="V196" s="78" t="s">
        <v>159</v>
      </c>
      <c r="W196" s="78" t="str">
        <f>W173</f>
        <v>Other</v>
      </c>
      <c r="X196" s="78" t="str">
        <f>X173</f>
        <v>FY27- Cactus</v>
      </c>
      <c r="Y196" s="201"/>
      <c r="Z196" s="78" t="s">
        <v>157</v>
      </c>
      <c r="AA196" s="78" t="s">
        <v>158</v>
      </c>
      <c r="AB196" s="78" t="s">
        <v>159</v>
      </c>
      <c r="AC196" s="78" t="str">
        <f>AC173</f>
        <v>Other</v>
      </c>
      <c r="AD196" s="78" t="str">
        <f>AD173</f>
        <v>FY27- Sahara</v>
      </c>
      <c r="AE196" s="201"/>
      <c r="AF196" s="78" t="s">
        <v>157</v>
      </c>
      <c r="AG196" s="78" t="s">
        <v>158</v>
      </c>
      <c r="AH196" s="78" t="s">
        <v>159</v>
      </c>
      <c r="AI196" s="78" t="str">
        <f>AI173</f>
        <v>Other</v>
      </c>
      <c r="AJ196" s="78" t="str">
        <f>AJ173</f>
        <v>FY27- VV</v>
      </c>
      <c r="AL196" s="78" t="s">
        <v>157</v>
      </c>
      <c r="AM196" s="78" t="s">
        <v>158</v>
      </c>
      <c r="AN196" s="78" t="s">
        <v>159</v>
      </c>
      <c r="AO196" s="78" t="str">
        <f>AO173</f>
        <v>Grant</v>
      </c>
      <c r="AP196" s="78" t="str">
        <f>AP173</f>
        <v>FY27 - Central</v>
      </c>
      <c r="AR196" s="78" t="s">
        <v>157</v>
      </c>
      <c r="AS196" s="78" t="s">
        <v>158</v>
      </c>
      <c r="AT196" s="78" t="s">
        <v>159</v>
      </c>
      <c r="AU196" s="78" t="str">
        <f>AU173</f>
        <v>Other</v>
      </c>
      <c r="AV196" s="78" t="str">
        <f>AV173</f>
        <v>FY27- Sys</v>
      </c>
    </row>
    <row r="197" spans="1:49" x14ac:dyDescent="0.25">
      <c r="A197" s="35" t="s">
        <v>143</v>
      </c>
      <c r="B197" s="60">
        <f>95000*1.02</f>
        <v>96900</v>
      </c>
      <c r="C197" s="75"/>
      <c r="D197" s="75"/>
      <c r="E197" s="75"/>
      <c r="F197" s="75">
        <f>SUM(B197:E197)</f>
        <v>96900</v>
      </c>
      <c r="H197" s="60">
        <f>95000*1.02</f>
        <v>96900</v>
      </c>
      <c r="I197" s="75"/>
      <c r="J197" s="75"/>
      <c r="K197" s="75"/>
      <c r="L197" s="75">
        <f>SUM(H197:K197)</f>
        <v>96900</v>
      </c>
      <c r="N197" s="60">
        <f>285000*1.02</f>
        <v>290700</v>
      </c>
      <c r="O197" s="75"/>
      <c r="P197" s="75"/>
      <c r="Q197" s="75"/>
      <c r="R197" s="75">
        <f>SUM(N197:Q197)</f>
        <v>290700</v>
      </c>
      <c r="T197" s="60">
        <f>65000*1.03</f>
        <v>66950</v>
      </c>
      <c r="U197" s="75"/>
      <c r="V197" s="75"/>
      <c r="W197" s="75"/>
      <c r="X197" s="75">
        <f>SUM(T197:W197)</f>
        <v>66950</v>
      </c>
      <c r="Y197" s="194"/>
      <c r="Z197" s="60">
        <v>70000</v>
      </c>
      <c r="AA197" s="75"/>
      <c r="AB197" s="75"/>
      <c r="AC197" s="75"/>
      <c r="AD197" s="75">
        <f>SUM(Z197:AC197)</f>
        <v>70000</v>
      </c>
      <c r="AE197" s="194"/>
      <c r="AF197" s="60">
        <v>0</v>
      </c>
      <c r="AG197" s="75"/>
      <c r="AH197" s="75"/>
      <c r="AI197" s="75"/>
      <c r="AJ197" s="75">
        <f>SUM(AF197:AI197)</f>
        <v>0</v>
      </c>
      <c r="AL197" s="60"/>
      <c r="AM197" s="75"/>
      <c r="AN197" s="75"/>
      <c r="AO197" s="75"/>
      <c r="AP197" s="75">
        <f>SUM(AL197:AO197)</f>
        <v>0</v>
      </c>
      <c r="AR197" s="60">
        <f>B197+H197+N197+T197+AL197+AF197+Z197</f>
        <v>621450</v>
      </c>
      <c r="AS197" s="60">
        <f t="shared" ref="AS197:AU197" si="389">C197+I197+O197+U197+AM197+AG197+AA197</f>
        <v>0</v>
      </c>
      <c r="AT197" s="60">
        <f t="shared" si="389"/>
        <v>0</v>
      </c>
      <c r="AU197" s="60">
        <f t="shared" si="389"/>
        <v>0</v>
      </c>
      <c r="AV197" s="75">
        <f>SUM(AR197:AU197)</f>
        <v>621450</v>
      </c>
    </row>
    <row r="198" spans="1:49" x14ac:dyDescent="0.25">
      <c r="A198" s="32" t="s">
        <v>144</v>
      </c>
      <c r="B198" s="60">
        <v>0</v>
      </c>
      <c r="C198" s="63"/>
      <c r="D198" s="63"/>
      <c r="E198" s="63"/>
      <c r="F198" s="75">
        <f t="shared" ref="F198:F206" si="390">SUM(B198:E198)</f>
        <v>0</v>
      </c>
      <c r="H198" s="60">
        <v>0</v>
      </c>
      <c r="I198" s="63"/>
      <c r="J198" s="63"/>
      <c r="K198" s="63"/>
      <c r="L198" s="75">
        <f t="shared" ref="L198:L206" si="391">SUM(H198:K198)</f>
        <v>0</v>
      </c>
      <c r="N198" s="60">
        <f>16000*1.02</f>
        <v>16320</v>
      </c>
      <c r="O198" s="63"/>
      <c r="P198" s="63"/>
      <c r="Q198" s="63"/>
      <c r="R198" s="75">
        <f t="shared" ref="R198:R206" si="392">SUM(N198:Q198)</f>
        <v>16320</v>
      </c>
      <c r="T198" s="60"/>
      <c r="U198" s="63"/>
      <c r="V198" s="63"/>
      <c r="W198" s="63"/>
      <c r="X198" s="75">
        <f t="shared" ref="X198:X206" si="393">SUM(T198:W198)</f>
        <v>0</v>
      </c>
      <c r="Y198" s="194"/>
      <c r="Z198" s="60"/>
      <c r="AA198" s="63"/>
      <c r="AB198" s="63"/>
      <c r="AC198" s="63"/>
      <c r="AD198" s="75">
        <f t="shared" ref="AD198:AD206" si="394">SUM(Z198:AC198)</f>
        <v>0</v>
      </c>
      <c r="AE198" s="194"/>
      <c r="AF198" s="60">
        <v>0</v>
      </c>
      <c r="AG198" s="63"/>
      <c r="AH198" s="63"/>
      <c r="AI198" s="63"/>
      <c r="AJ198" s="75">
        <f t="shared" ref="AJ198:AJ206" si="395">SUM(AF198:AI198)</f>
        <v>0</v>
      </c>
      <c r="AL198" s="60"/>
      <c r="AM198" s="63"/>
      <c r="AN198" s="63"/>
      <c r="AO198" s="63"/>
      <c r="AP198" s="75">
        <f t="shared" ref="AP198:AP206" si="396">SUM(AL198:AO198)</f>
        <v>0</v>
      </c>
      <c r="AR198" s="60">
        <f t="shared" ref="AR198:AR206" si="397">B198+H198+N198+T198+AL198+AF198+Z198</f>
        <v>16320</v>
      </c>
      <c r="AS198" s="60">
        <f t="shared" ref="AS198:AS206" si="398">C198+I198+O198+U198+AM198+AG198+AA198</f>
        <v>0</v>
      </c>
      <c r="AT198" s="60">
        <f t="shared" ref="AT198:AT206" si="399">D198+J198+P198+V198+AN198+AH198+AB198</f>
        <v>0</v>
      </c>
      <c r="AU198" s="60">
        <f t="shared" ref="AU198:AU206" si="400">E198+K198+Q198+W198+AO198+AI198+AC198</f>
        <v>0</v>
      </c>
      <c r="AV198" s="75">
        <f t="shared" ref="AV198:AV206" si="401">SUM(AR198:AU198)</f>
        <v>16320</v>
      </c>
    </row>
    <row r="199" spans="1:49" x14ac:dyDescent="0.25">
      <c r="A199" s="32" t="s">
        <v>145</v>
      </c>
      <c r="B199" s="60">
        <f>57500*1.02</f>
        <v>58650</v>
      </c>
      <c r="C199" s="63"/>
      <c r="D199" s="63"/>
      <c r="E199" s="63"/>
      <c r="F199" s="75">
        <f t="shared" si="390"/>
        <v>58650</v>
      </c>
      <c r="H199" s="60">
        <f>57000*1.02</f>
        <v>58140</v>
      </c>
      <c r="I199" s="63"/>
      <c r="J199" s="63"/>
      <c r="K199" s="63"/>
      <c r="L199" s="75">
        <f t="shared" si="391"/>
        <v>58140</v>
      </c>
      <c r="N199" s="60">
        <f>130000*1.02</f>
        <v>132600</v>
      </c>
      <c r="O199" s="63"/>
      <c r="P199" s="63"/>
      <c r="Q199" s="63"/>
      <c r="R199" s="75">
        <f t="shared" si="392"/>
        <v>132600</v>
      </c>
      <c r="T199" s="60">
        <f>16000*1.03</f>
        <v>16480</v>
      </c>
      <c r="U199" s="63"/>
      <c r="V199" s="63"/>
      <c r="W199" s="63"/>
      <c r="X199" s="75">
        <f t="shared" si="393"/>
        <v>16480</v>
      </c>
      <c r="Y199" s="194"/>
      <c r="Z199" s="60">
        <v>25000</v>
      </c>
      <c r="AA199" s="63"/>
      <c r="AB199" s="63"/>
      <c r="AC199" s="63"/>
      <c r="AD199" s="75">
        <f t="shared" si="394"/>
        <v>25000</v>
      </c>
      <c r="AE199" s="194"/>
      <c r="AF199" s="60">
        <v>0</v>
      </c>
      <c r="AG199" s="63"/>
      <c r="AH199" s="63"/>
      <c r="AI199" s="63"/>
      <c r="AJ199" s="75">
        <f t="shared" si="395"/>
        <v>0</v>
      </c>
      <c r="AL199" s="60"/>
      <c r="AM199" s="63"/>
      <c r="AN199" s="63"/>
      <c r="AO199" s="63"/>
      <c r="AP199" s="75">
        <f t="shared" si="396"/>
        <v>0</v>
      </c>
      <c r="AR199" s="60">
        <f t="shared" si="397"/>
        <v>290870</v>
      </c>
      <c r="AS199" s="60">
        <f t="shared" si="398"/>
        <v>0</v>
      </c>
      <c r="AT199" s="60">
        <f t="shared" si="399"/>
        <v>0</v>
      </c>
      <c r="AU199" s="60">
        <f t="shared" si="400"/>
        <v>0</v>
      </c>
      <c r="AV199" s="75">
        <f t="shared" si="401"/>
        <v>290870</v>
      </c>
    </row>
    <row r="200" spans="1:49" x14ac:dyDescent="0.25">
      <c r="A200" s="32" t="s">
        <v>146</v>
      </c>
      <c r="B200" s="60">
        <f>37000*1.02</f>
        <v>37740</v>
      </c>
      <c r="C200" s="63"/>
      <c r="D200" s="63"/>
      <c r="E200" s="63"/>
      <c r="F200" s="75">
        <f t="shared" si="390"/>
        <v>37740</v>
      </c>
      <c r="H200" s="60">
        <f>45000*1.02</f>
        <v>45900</v>
      </c>
      <c r="I200" s="63"/>
      <c r="J200" s="63"/>
      <c r="K200" s="63"/>
      <c r="L200" s="75">
        <f t="shared" si="391"/>
        <v>45900</v>
      </c>
      <c r="N200" s="60">
        <f>70000*1.02</f>
        <v>71400</v>
      </c>
      <c r="O200" s="63"/>
      <c r="P200" s="63"/>
      <c r="Q200" s="63"/>
      <c r="R200" s="75">
        <f t="shared" si="392"/>
        <v>71400</v>
      </c>
      <c r="T200" s="60"/>
      <c r="U200" s="63"/>
      <c r="V200" s="63"/>
      <c r="W200" s="63"/>
      <c r="X200" s="75">
        <f t="shared" si="393"/>
        <v>0</v>
      </c>
      <c r="Y200" s="194"/>
      <c r="Z200" s="60">
        <v>20000</v>
      </c>
      <c r="AA200" s="63"/>
      <c r="AB200" s="63"/>
      <c r="AC200" s="63"/>
      <c r="AD200" s="75">
        <f t="shared" si="394"/>
        <v>20000</v>
      </c>
      <c r="AE200" s="194"/>
      <c r="AF200" s="60">
        <v>0</v>
      </c>
      <c r="AG200" s="63"/>
      <c r="AH200" s="63"/>
      <c r="AI200" s="63"/>
      <c r="AJ200" s="75">
        <f t="shared" si="395"/>
        <v>0</v>
      </c>
      <c r="AL200" s="60"/>
      <c r="AM200" s="63"/>
      <c r="AN200" s="63"/>
      <c r="AO200" s="63"/>
      <c r="AP200" s="75">
        <f t="shared" si="396"/>
        <v>0</v>
      </c>
      <c r="AR200" s="60">
        <f t="shared" si="397"/>
        <v>175040</v>
      </c>
      <c r="AS200" s="60">
        <f t="shared" si="398"/>
        <v>0</v>
      </c>
      <c r="AT200" s="60">
        <f t="shared" si="399"/>
        <v>0</v>
      </c>
      <c r="AU200" s="60">
        <f t="shared" si="400"/>
        <v>0</v>
      </c>
      <c r="AV200" s="75">
        <f t="shared" si="401"/>
        <v>175040</v>
      </c>
    </row>
    <row r="201" spans="1:49" x14ac:dyDescent="0.25">
      <c r="A201" s="32" t="s">
        <v>147</v>
      </c>
      <c r="B201" s="60">
        <f>12500*1.02</f>
        <v>12750</v>
      </c>
      <c r="C201" s="63"/>
      <c r="D201" s="63"/>
      <c r="E201" s="63"/>
      <c r="F201" s="75">
        <f t="shared" si="390"/>
        <v>12750</v>
      </c>
      <c r="H201" s="60">
        <f>7500*1.02</f>
        <v>7650</v>
      </c>
      <c r="I201" s="63"/>
      <c r="J201" s="63"/>
      <c r="K201" s="63"/>
      <c r="L201" s="75">
        <f t="shared" si="391"/>
        <v>7650</v>
      </c>
      <c r="N201" s="60">
        <f>21000*1.02</f>
        <v>21420</v>
      </c>
      <c r="O201" s="63"/>
      <c r="P201" s="63"/>
      <c r="Q201" s="63"/>
      <c r="R201" s="75">
        <f t="shared" si="392"/>
        <v>21420</v>
      </c>
      <c r="T201" s="60">
        <f>5500+500</f>
        <v>6000</v>
      </c>
      <c r="U201" s="63"/>
      <c r="V201" s="63"/>
      <c r="W201" s="63"/>
      <c r="X201" s="75">
        <f t="shared" si="393"/>
        <v>6000</v>
      </c>
      <c r="Y201" s="194"/>
      <c r="Z201" s="60">
        <f>5500+500</f>
        <v>6000</v>
      </c>
      <c r="AA201" s="63"/>
      <c r="AB201" s="63"/>
      <c r="AC201" s="63"/>
      <c r="AD201" s="75">
        <f t="shared" si="394"/>
        <v>6000</v>
      </c>
      <c r="AE201" s="194"/>
      <c r="AF201" s="60">
        <v>0</v>
      </c>
      <c r="AG201" s="63"/>
      <c r="AH201" s="63"/>
      <c r="AI201" s="63"/>
      <c r="AJ201" s="75">
        <f t="shared" si="395"/>
        <v>0</v>
      </c>
      <c r="AL201" s="60"/>
      <c r="AM201" s="63"/>
      <c r="AN201" s="63"/>
      <c r="AO201" s="63"/>
      <c r="AP201" s="75">
        <f t="shared" si="396"/>
        <v>0</v>
      </c>
      <c r="AR201" s="60">
        <f t="shared" si="397"/>
        <v>53820</v>
      </c>
      <c r="AS201" s="60">
        <f t="shared" si="398"/>
        <v>0</v>
      </c>
      <c r="AT201" s="60">
        <f t="shared" si="399"/>
        <v>0</v>
      </c>
      <c r="AU201" s="60">
        <f t="shared" si="400"/>
        <v>0</v>
      </c>
      <c r="AV201" s="75">
        <f t="shared" si="401"/>
        <v>53820</v>
      </c>
    </row>
    <row r="202" spans="1:49" x14ac:dyDescent="0.25">
      <c r="A202" s="32" t="s">
        <v>148</v>
      </c>
      <c r="B202" s="60">
        <f>((8015*13))*1.03</f>
        <v>107320.85</v>
      </c>
      <c r="C202" s="63"/>
      <c r="D202" s="63"/>
      <c r="E202" s="63"/>
      <c r="F202" s="75">
        <f t="shared" si="390"/>
        <v>107320.85</v>
      </c>
      <c r="H202" s="60">
        <f>(((7105*13))+10000)*1.03</f>
        <v>105435.95</v>
      </c>
      <c r="I202" s="63"/>
      <c r="J202" s="63"/>
      <c r="K202" s="63"/>
      <c r="L202" s="75">
        <f t="shared" si="391"/>
        <v>105435.95</v>
      </c>
      <c r="N202" s="60">
        <f>((24050*13)+(12500*2))*1.03</f>
        <v>347779.5</v>
      </c>
      <c r="O202" s="63"/>
      <c r="P202" s="63"/>
      <c r="Q202" s="63"/>
      <c r="R202" s="75">
        <f t="shared" si="392"/>
        <v>347779.5</v>
      </c>
      <c r="T202" s="60">
        <f>(2475*13)*1.05</f>
        <v>33783.75</v>
      </c>
      <c r="U202" s="63"/>
      <c r="V202" s="63"/>
      <c r="W202" s="63"/>
      <c r="X202" s="75">
        <f t="shared" si="393"/>
        <v>33783.75</v>
      </c>
      <c r="Y202" s="194"/>
      <c r="Z202" s="60">
        <f>(3000*13)*1.05</f>
        <v>40950</v>
      </c>
      <c r="AA202" s="63"/>
      <c r="AB202" s="63"/>
      <c r="AC202" s="63"/>
      <c r="AD202" s="75">
        <f t="shared" si="394"/>
        <v>40950</v>
      </c>
      <c r="AE202" s="194"/>
      <c r="AF202" s="60">
        <v>0</v>
      </c>
      <c r="AG202" s="63"/>
      <c r="AH202" s="63"/>
      <c r="AI202" s="63"/>
      <c r="AJ202" s="75">
        <f t="shared" si="395"/>
        <v>0</v>
      </c>
      <c r="AL202" s="60"/>
      <c r="AM202" s="63"/>
      <c r="AN202" s="63"/>
      <c r="AO202" s="63"/>
      <c r="AP202" s="75">
        <f t="shared" si="396"/>
        <v>0</v>
      </c>
      <c r="AR202" s="60">
        <f t="shared" si="397"/>
        <v>635270.05000000005</v>
      </c>
      <c r="AS202" s="60">
        <f t="shared" si="398"/>
        <v>0</v>
      </c>
      <c r="AT202" s="60">
        <f t="shared" si="399"/>
        <v>0</v>
      </c>
      <c r="AU202" s="60">
        <f t="shared" si="400"/>
        <v>0</v>
      </c>
      <c r="AV202" s="75">
        <f t="shared" si="401"/>
        <v>635270.05000000005</v>
      </c>
    </row>
    <row r="203" spans="1:49" x14ac:dyDescent="0.25">
      <c r="A203" s="32" t="s">
        <v>149</v>
      </c>
      <c r="B203" s="60">
        <f>145000+5000</f>
        <v>150000</v>
      </c>
      <c r="C203" s="63"/>
      <c r="D203" s="63"/>
      <c r="E203" s="63"/>
      <c r="F203" s="75">
        <f t="shared" si="390"/>
        <v>150000</v>
      </c>
      <c r="H203" s="60">
        <f>140000+5000</f>
        <v>145000</v>
      </c>
      <c r="I203" s="63"/>
      <c r="J203" s="63"/>
      <c r="K203" s="63"/>
      <c r="L203" s="75">
        <f t="shared" si="391"/>
        <v>145000</v>
      </c>
      <c r="N203" s="60">
        <f>235000+10000</f>
        <v>245000</v>
      </c>
      <c r="O203" s="63"/>
      <c r="P203" s="63"/>
      <c r="Q203" s="63">
        <v>0</v>
      </c>
      <c r="R203" s="75">
        <f t="shared" si="392"/>
        <v>245000</v>
      </c>
      <c r="T203" s="60">
        <f>40000+10000</f>
        <v>50000</v>
      </c>
      <c r="U203" s="63"/>
      <c r="V203" s="63">
        <v>0</v>
      </c>
      <c r="W203" s="63"/>
      <c r="X203" s="75">
        <f t="shared" si="393"/>
        <v>50000</v>
      </c>
      <c r="Y203" s="194"/>
      <c r="Z203" s="60">
        <f>40000+10000</f>
        <v>50000</v>
      </c>
      <c r="AA203" s="63"/>
      <c r="AB203" s="63">
        <v>0</v>
      </c>
      <c r="AC203" s="63"/>
      <c r="AD203" s="75">
        <f t="shared" si="394"/>
        <v>50000</v>
      </c>
      <c r="AE203" s="194"/>
      <c r="AF203" s="60">
        <v>0</v>
      </c>
      <c r="AG203" s="63"/>
      <c r="AH203" s="63">
        <v>0</v>
      </c>
      <c r="AI203" s="63"/>
      <c r="AJ203" s="75">
        <f t="shared" si="395"/>
        <v>0</v>
      </c>
      <c r="AL203" s="60"/>
      <c r="AM203" s="63"/>
      <c r="AN203" s="63"/>
      <c r="AO203" s="63">
        <f>AO85</f>
        <v>0</v>
      </c>
      <c r="AP203" s="75">
        <f t="shared" si="396"/>
        <v>0</v>
      </c>
      <c r="AR203" s="60">
        <f t="shared" si="397"/>
        <v>640000</v>
      </c>
      <c r="AS203" s="60">
        <f t="shared" si="398"/>
        <v>0</v>
      </c>
      <c r="AT203" s="60">
        <f t="shared" si="399"/>
        <v>0</v>
      </c>
      <c r="AU203" s="60">
        <f t="shared" si="400"/>
        <v>0</v>
      </c>
      <c r="AV203" s="75">
        <f t="shared" si="401"/>
        <v>640000</v>
      </c>
    </row>
    <row r="204" spans="1:49" x14ac:dyDescent="0.25">
      <c r="A204" s="32" t="s">
        <v>150</v>
      </c>
      <c r="B204" s="60">
        <v>0</v>
      </c>
      <c r="C204" s="63"/>
      <c r="D204" s="63"/>
      <c r="E204" s="63"/>
      <c r="F204" s="75">
        <f t="shared" si="390"/>
        <v>0</v>
      </c>
      <c r="H204" s="60">
        <v>0</v>
      </c>
      <c r="I204" s="63"/>
      <c r="J204" s="63"/>
      <c r="K204" s="63"/>
      <c r="L204" s="75">
        <f t="shared" si="391"/>
        <v>0</v>
      </c>
      <c r="N204" s="60">
        <v>0</v>
      </c>
      <c r="O204" s="63"/>
      <c r="P204" s="63"/>
      <c r="Q204" s="63"/>
      <c r="R204" s="75">
        <f t="shared" si="392"/>
        <v>0</v>
      </c>
      <c r="T204" s="60"/>
      <c r="U204" s="63"/>
      <c r="V204" s="63"/>
      <c r="W204" s="63"/>
      <c r="X204" s="75">
        <f t="shared" si="393"/>
        <v>0</v>
      </c>
      <c r="Y204" s="194"/>
      <c r="Z204" s="60"/>
      <c r="AA204" s="63"/>
      <c r="AB204" s="63"/>
      <c r="AC204" s="63"/>
      <c r="AD204" s="75">
        <f t="shared" si="394"/>
        <v>0</v>
      </c>
      <c r="AE204" s="194"/>
      <c r="AF204" s="60">
        <v>0</v>
      </c>
      <c r="AG204" s="63"/>
      <c r="AH204" s="63"/>
      <c r="AI204" s="63"/>
      <c r="AJ204" s="75">
        <f t="shared" si="395"/>
        <v>0</v>
      </c>
      <c r="AL204" s="60"/>
      <c r="AM204" s="63"/>
      <c r="AN204" s="63"/>
      <c r="AO204" s="63"/>
      <c r="AP204" s="75">
        <f t="shared" si="396"/>
        <v>0</v>
      </c>
      <c r="AR204" s="60">
        <f t="shared" si="397"/>
        <v>0</v>
      </c>
      <c r="AS204" s="60">
        <f t="shared" si="398"/>
        <v>0</v>
      </c>
      <c r="AT204" s="60">
        <f t="shared" si="399"/>
        <v>0</v>
      </c>
      <c r="AU204" s="60">
        <f t="shared" si="400"/>
        <v>0</v>
      </c>
      <c r="AV204" s="75">
        <f t="shared" si="401"/>
        <v>0</v>
      </c>
    </row>
    <row r="205" spans="1:49" x14ac:dyDescent="0.25">
      <c r="A205" s="32" t="s">
        <v>151</v>
      </c>
      <c r="B205" s="60">
        <f>25250*1.02</f>
        <v>25755</v>
      </c>
      <c r="C205" s="63"/>
      <c r="D205" s="63"/>
      <c r="E205" s="63"/>
      <c r="F205" s="75">
        <f t="shared" si="390"/>
        <v>25755</v>
      </c>
      <c r="H205" s="60">
        <f>(((700*1.04)*12)+12000)*1.02</f>
        <v>21150.720000000001</v>
      </c>
      <c r="I205" s="63"/>
      <c r="J205" s="63"/>
      <c r="K205" s="63"/>
      <c r="L205" s="75">
        <f t="shared" si="391"/>
        <v>21150.720000000001</v>
      </c>
      <c r="N205" s="60">
        <f>(((1750*1.04)*12)+14000)*1.03</f>
        <v>36915.200000000004</v>
      </c>
      <c r="O205" s="63"/>
      <c r="P205" s="63"/>
      <c r="Q205" s="63"/>
      <c r="R205" s="75">
        <f t="shared" si="392"/>
        <v>36915.200000000004</v>
      </c>
      <c r="T205" s="60">
        <f>750*12*1.03</f>
        <v>9270</v>
      </c>
      <c r="U205" s="63"/>
      <c r="V205" s="63"/>
      <c r="W205" s="63"/>
      <c r="X205" s="75">
        <f t="shared" si="393"/>
        <v>9270</v>
      </c>
      <c r="Y205" s="194"/>
      <c r="Z205" s="60">
        <v>12000</v>
      </c>
      <c r="AA205" s="63"/>
      <c r="AB205" s="63"/>
      <c r="AC205" s="63"/>
      <c r="AD205" s="75">
        <f t="shared" si="394"/>
        <v>12000</v>
      </c>
      <c r="AE205" s="194"/>
      <c r="AF205" s="60">
        <v>0</v>
      </c>
      <c r="AG205" s="63"/>
      <c r="AH205" s="63"/>
      <c r="AI205" s="63"/>
      <c r="AJ205" s="75">
        <f t="shared" si="395"/>
        <v>0</v>
      </c>
      <c r="AL205" s="60"/>
      <c r="AM205" s="63"/>
      <c r="AN205" s="63"/>
      <c r="AO205" s="63"/>
      <c r="AP205" s="75">
        <f t="shared" si="396"/>
        <v>0</v>
      </c>
      <c r="AR205" s="60">
        <f t="shared" si="397"/>
        <v>105090.92000000001</v>
      </c>
      <c r="AS205" s="60">
        <f t="shared" si="398"/>
        <v>0</v>
      </c>
      <c r="AT205" s="60">
        <f t="shared" si="399"/>
        <v>0</v>
      </c>
      <c r="AU205" s="60">
        <f t="shared" si="400"/>
        <v>0</v>
      </c>
      <c r="AV205" s="75">
        <f t="shared" si="401"/>
        <v>105090.92000000001</v>
      </c>
    </row>
    <row r="206" spans="1:49" x14ac:dyDescent="0.25">
      <c r="A206" s="33" t="s">
        <v>152</v>
      </c>
      <c r="B206" s="60">
        <f>((13610*1.04)+20000)*1.03</f>
        <v>35179.031999999999</v>
      </c>
      <c r="C206" s="64"/>
      <c r="D206" s="64"/>
      <c r="E206" s="64"/>
      <c r="F206" s="75">
        <f t="shared" si="390"/>
        <v>35179.031999999999</v>
      </c>
      <c r="H206" s="60">
        <f>((12860*1.04)+20000)*1.03</f>
        <v>34375.632000000005</v>
      </c>
      <c r="I206" s="64"/>
      <c r="J206" s="64"/>
      <c r="K206" s="64"/>
      <c r="L206" s="75">
        <f t="shared" si="391"/>
        <v>34375.632000000005</v>
      </c>
      <c r="N206" s="60">
        <f>((24500*1.04)+30000)*1.03</f>
        <v>57144.4</v>
      </c>
      <c r="O206" s="64"/>
      <c r="P206" s="64"/>
      <c r="Q206" s="64"/>
      <c r="R206" s="75">
        <f t="shared" si="392"/>
        <v>57144.4</v>
      </c>
      <c r="T206" s="60">
        <f>20000*1.03</f>
        <v>20600</v>
      </c>
      <c r="U206" s="64"/>
      <c r="V206" s="64"/>
      <c r="W206" s="64"/>
      <c r="X206" s="75">
        <f t="shared" si="393"/>
        <v>20600</v>
      </c>
      <c r="Y206" s="194"/>
      <c r="Z206" s="60">
        <v>21000</v>
      </c>
      <c r="AA206" s="64"/>
      <c r="AB206" s="64"/>
      <c r="AC206" s="64"/>
      <c r="AD206" s="75">
        <f t="shared" si="394"/>
        <v>21000</v>
      </c>
      <c r="AE206" s="194"/>
      <c r="AF206" s="60">
        <v>0</v>
      </c>
      <c r="AG206" s="64"/>
      <c r="AH206" s="64"/>
      <c r="AI206" s="64"/>
      <c r="AJ206" s="75">
        <f t="shared" si="395"/>
        <v>0</v>
      </c>
      <c r="AL206" s="60"/>
      <c r="AM206" s="64"/>
      <c r="AN206" s="64"/>
      <c r="AO206" s="64"/>
      <c r="AP206" s="75">
        <f t="shared" si="396"/>
        <v>0</v>
      </c>
      <c r="AR206" s="60">
        <f t="shared" si="397"/>
        <v>168299.06400000001</v>
      </c>
      <c r="AS206" s="60">
        <f t="shared" si="398"/>
        <v>0</v>
      </c>
      <c r="AT206" s="60">
        <f t="shared" si="399"/>
        <v>0</v>
      </c>
      <c r="AU206" s="60">
        <f t="shared" si="400"/>
        <v>0</v>
      </c>
      <c r="AV206" s="75">
        <f t="shared" si="401"/>
        <v>168299.06400000001</v>
      </c>
    </row>
    <row r="207" spans="1:49" x14ac:dyDescent="0.25">
      <c r="A207" s="34"/>
      <c r="B207" s="76">
        <f>SUM(B197:B206)</f>
        <v>524294.88199999998</v>
      </c>
      <c r="C207" s="76">
        <f t="shared" ref="C207:F207" si="402">SUM(C197:C206)</f>
        <v>0</v>
      </c>
      <c r="D207" s="76">
        <f t="shared" si="402"/>
        <v>0</v>
      </c>
      <c r="E207" s="76">
        <f t="shared" si="402"/>
        <v>0</v>
      </c>
      <c r="F207" s="76">
        <f t="shared" si="402"/>
        <v>524294.88199999998</v>
      </c>
      <c r="H207" s="76">
        <f>SUM(H197:H206)</f>
        <v>514552.30200000003</v>
      </c>
      <c r="I207" s="76">
        <f t="shared" ref="I207:L207" si="403">SUM(I197:I206)</f>
        <v>0</v>
      </c>
      <c r="J207" s="76">
        <f t="shared" si="403"/>
        <v>0</v>
      </c>
      <c r="K207" s="76">
        <f t="shared" si="403"/>
        <v>0</v>
      </c>
      <c r="L207" s="76">
        <f t="shared" si="403"/>
        <v>514552.30200000003</v>
      </c>
      <c r="N207" s="76">
        <f>SUM(N197:N206)</f>
        <v>1219279.0999999999</v>
      </c>
      <c r="O207" s="76">
        <f t="shared" ref="O207:R207" si="404">SUM(O197:O206)</f>
        <v>0</v>
      </c>
      <c r="P207" s="76">
        <f t="shared" si="404"/>
        <v>0</v>
      </c>
      <c r="Q207" s="76">
        <f t="shared" si="404"/>
        <v>0</v>
      </c>
      <c r="R207" s="76">
        <f t="shared" si="404"/>
        <v>1219279.0999999999</v>
      </c>
      <c r="T207" s="76">
        <f>SUM(T197:T206)</f>
        <v>203083.75</v>
      </c>
      <c r="U207" s="76">
        <f t="shared" ref="U207:W207" si="405">SUM(U197:U206)</f>
        <v>0</v>
      </c>
      <c r="V207" s="76">
        <f t="shared" si="405"/>
        <v>0</v>
      </c>
      <c r="W207" s="76">
        <f t="shared" si="405"/>
        <v>0</v>
      </c>
      <c r="X207" s="76">
        <f t="shared" ref="X207" si="406">SUM(X197:X206)</f>
        <v>203083.75</v>
      </c>
      <c r="Y207" s="199"/>
      <c r="Z207" s="76">
        <f>SUM(Z197:Z206)</f>
        <v>244950</v>
      </c>
      <c r="AA207" s="76">
        <f t="shared" ref="AA207:AD207" si="407">SUM(AA197:AA206)</f>
        <v>0</v>
      </c>
      <c r="AB207" s="76">
        <f t="shared" si="407"/>
        <v>0</v>
      </c>
      <c r="AC207" s="76">
        <f t="shared" si="407"/>
        <v>0</v>
      </c>
      <c r="AD207" s="76">
        <f t="shared" si="407"/>
        <v>244950</v>
      </c>
      <c r="AE207" s="199"/>
      <c r="AF207" s="76">
        <f>SUM(AF197:AF206)</f>
        <v>0</v>
      </c>
      <c r="AG207" s="76">
        <f t="shared" ref="AG207:AJ207" si="408">SUM(AG197:AG206)</f>
        <v>0</v>
      </c>
      <c r="AH207" s="76">
        <f t="shared" si="408"/>
        <v>0</v>
      </c>
      <c r="AI207" s="76">
        <f t="shared" si="408"/>
        <v>0</v>
      </c>
      <c r="AJ207" s="76">
        <f t="shared" si="408"/>
        <v>0</v>
      </c>
      <c r="AL207" s="76">
        <f>SUM(AL197:AL206)</f>
        <v>0</v>
      </c>
      <c r="AM207" s="76">
        <f t="shared" ref="AM207:AO207" si="409">SUM(AM197:AM206)</f>
        <v>0</v>
      </c>
      <c r="AN207" s="76">
        <f t="shared" si="409"/>
        <v>0</v>
      </c>
      <c r="AO207" s="76">
        <f t="shared" si="409"/>
        <v>0</v>
      </c>
      <c r="AP207" s="76">
        <f t="shared" ref="AP207" si="410">SUM(AP197:AP206)</f>
        <v>0</v>
      </c>
      <c r="AR207" s="76">
        <f>SUM(AR197:AR206)</f>
        <v>2706160.034</v>
      </c>
      <c r="AS207" s="76">
        <f t="shared" ref="AS207:AV207" si="411">SUM(AS197:AS206)</f>
        <v>0</v>
      </c>
      <c r="AT207" s="76">
        <f t="shared" si="411"/>
        <v>0</v>
      </c>
      <c r="AU207" s="76">
        <f t="shared" si="411"/>
        <v>0</v>
      </c>
      <c r="AV207" s="76">
        <f t="shared" si="411"/>
        <v>2706160.034</v>
      </c>
    </row>
    <row r="208" spans="1:49" ht="16.5" thickBot="1" x14ac:dyDescent="0.3">
      <c r="B208" s="77"/>
      <c r="C208" s="77"/>
      <c r="D208" s="77"/>
      <c r="E208" s="77"/>
      <c r="F208" s="77"/>
      <c r="H208" s="77"/>
      <c r="I208" s="77"/>
      <c r="J208" s="77"/>
      <c r="K208" s="77"/>
      <c r="L208" s="77"/>
      <c r="N208" s="77"/>
      <c r="O208" s="77"/>
      <c r="P208" s="77"/>
      <c r="Q208" s="77"/>
      <c r="R208" s="77"/>
      <c r="T208" s="77"/>
      <c r="U208" s="77"/>
      <c r="V208" s="77"/>
      <c r="W208" s="77"/>
      <c r="X208" s="77"/>
      <c r="Y208" s="79"/>
      <c r="Z208" s="77"/>
      <c r="AA208" s="77"/>
      <c r="AB208" s="77"/>
      <c r="AC208" s="77"/>
      <c r="AD208" s="77"/>
      <c r="AE208" s="79"/>
      <c r="AF208" s="77"/>
      <c r="AG208" s="77"/>
      <c r="AH208" s="77"/>
      <c r="AI208" s="77"/>
      <c r="AJ208" s="77"/>
      <c r="AL208" s="77"/>
      <c r="AM208" s="77"/>
      <c r="AN208" s="77"/>
      <c r="AO208" s="77"/>
      <c r="AP208" s="77"/>
      <c r="AR208" s="77"/>
      <c r="AS208" s="77"/>
      <c r="AT208" s="77"/>
      <c r="AU208" s="77"/>
      <c r="AV208" s="77"/>
    </row>
    <row r="209" spans="1:48" ht="16.5" thickBot="1" x14ac:dyDescent="0.3">
      <c r="A209"/>
      <c r="B209" s="80">
        <f t="shared" ref="B209:F209" si="412">B207+B194+B171+B159+B149+B141+B132+B125+B116+B109</f>
        <v>10177652.681762502</v>
      </c>
      <c r="C209" s="80">
        <f t="shared" si="412"/>
        <v>1225495.6975</v>
      </c>
      <c r="D209" s="80">
        <f t="shared" si="412"/>
        <v>1183190.3500000001</v>
      </c>
      <c r="E209" s="80">
        <f t="shared" si="412"/>
        <v>0</v>
      </c>
      <c r="F209" s="80">
        <f t="shared" si="412"/>
        <v>12586338.729262501</v>
      </c>
      <c r="H209" s="80">
        <f t="shared" ref="H209:L209" si="413">H207+H194+H171+H159+H149+H141+H132+H125+H116+H109</f>
        <v>10069490.495750001</v>
      </c>
      <c r="I209" s="80">
        <f t="shared" si="413"/>
        <v>1134653.635</v>
      </c>
      <c r="J209" s="80">
        <f t="shared" si="413"/>
        <v>1002131.05</v>
      </c>
      <c r="K209" s="80">
        <f t="shared" si="413"/>
        <v>0</v>
      </c>
      <c r="L209" s="80">
        <f t="shared" si="413"/>
        <v>12206275.180750001</v>
      </c>
      <c r="N209" s="80">
        <f t="shared" ref="N209:R209" si="414">N207+N194+N171+N159+N149+N141+N132+N125+N116+N109</f>
        <v>22031357.014999997</v>
      </c>
      <c r="O209" s="80">
        <f t="shared" si="414"/>
        <v>2847729.7174999998</v>
      </c>
      <c r="P209" s="80">
        <f t="shared" si="414"/>
        <v>1788618.25</v>
      </c>
      <c r="Q209" s="80">
        <f t="shared" si="414"/>
        <v>0</v>
      </c>
      <c r="R209" s="80">
        <f t="shared" si="414"/>
        <v>26667704.982499998</v>
      </c>
      <c r="T209" s="80">
        <f t="shared" ref="T209:X209" si="415">T207+T194+T171+T159+T149+T141+T132+T125+T116+T109</f>
        <v>3835953.2515000002</v>
      </c>
      <c r="U209" s="80">
        <f t="shared" si="415"/>
        <v>575657.30000000005</v>
      </c>
      <c r="V209" s="80">
        <f t="shared" si="415"/>
        <v>401600.36249999999</v>
      </c>
      <c r="W209" s="80">
        <f t="shared" si="415"/>
        <v>0</v>
      </c>
      <c r="X209" s="80">
        <f t="shared" si="415"/>
        <v>4813210.9139999999</v>
      </c>
      <c r="Y209" s="199"/>
      <c r="Z209" s="80">
        <f t="shared" ref="Z209:AD209" si="416">Z207+Z194+Z171+Z159+Z149+Z141+Z132+Z125+Z116+Z109</f>
        <v>3266227.0695000002</v>
      </c>
      <c r="AA209" s="80">
        <f t="shared" si="416"/>
        <v>353166.67499999999</v>
      </c>
      <c r="AB209" s="80">
        <f t="shared" si="416"/>
        <v>545233.35</v>
      </c>
      <c r="AC209" s="80">
        <f t="shared" si="416"/>
        <v>0</v>
      </c>
      <c r="AD209" s="80">
        <f t="shared" si="416"/>
        <v>4164627.0944999997</v>
      </c>
      <c r="AE209" s="199"/>
      <c r="AF209" s="80">
        <f t="shared" ref="AF209:AJ209" si="417">AF207+AF194+AF171+AF159+AF149+AF141+AF132+AF125+AF116+AF109</f>
        <v>0</v>
      </c>
      <c r="AG209" s="80">
        <f t="shared" si="417"/>
        <v>0</v>
      </c>
      <c r="AH209" s="80">
        <f t="shared" si="417"/>
        <v>0</v>
      </c>
      <c r="AI209" s="80">
        <f t="shared" si="417"/>
        <v>0</v>
      </c>
      <c r="AJ209" s="80">
        <f t="shared" si="417"/>
        <v>0</v>
      </c>
      <c r="AL209" s="80">
        <f t="shared" ref="AL209:AP209" si="418">AL207+AL194+AL171+AL159+AL149+AL141+AL132+AL125+AL116+AL109</f>
        <v>521053.3775</v>
      </c>
      <c r="AM209" s="80">
        <f t="shared" si="418"/>
        <v>454633.46625</v>
      </c>
      <c r="AN209" s="80">
        <f t="shared" si="418"/>
        <v>102537.9140625</v>
      </c>
      <c r="AO209" s="80">
        <f t="shared" si="418"/>
        <v>1993737.5</v>
      </c>
      <c r="AP209" s="80">
        <f t="shared" si="418"/>
        <v>3071962.2578125</v>
      </c>
      <c r="AR209" s="80">
        <f t="shared" ref="AR209:AV209" si="419">AR207+AR194+AR171+AR159+AR149+AR141+AR132+AR125+AR116+AR109</f>
        <v>49901733.891012497</v>
      </c>
      <c r="AS209" s="80">
        <f t="shared" si="419"/>
        <v>6591336.49125</v>
      </c>
      <c r="AT209" s="80">
        <f t="shared" si="419"/>
        <v>5023311.2765624998</v>
      </c>
      <c r="AU209" s="80">
        <f t="shared" si="419"/>
        <v>1993737.5</v>
      </c>
      <c r="AV209" s="80">
        <f t="shared" si="419"/>
        <v>63510119.158825003</v>
      </c>
    </row>
    <row r="210" spans="1:48" ht="16.5" thickBot="1" x14ac:dyDescent="0.3">
      <c r="B210" s="77"/>
      <c r="C210" s="77"/>
      <c r="D210" s="77"/>
      <c r="E210" s="77"/>
      <c r="F210" s="77"/>
      <c r="H210" s="77"/>
      <c r="I210" s="77"/>
      <c r="J210" s="77"/>
      <c r="K210" s="77"/>
      <c r="L210" s="77"/>
      <c r="N210" s="77"/>
      <c r="O210" s="77"/>
      <c r="P210" s="77"/>
      <c r="Q210" s="77"/>
      <c r="R210" s="77"/>
      <c r="T210" s="77"/>
      <c r="U210" s="77"/>
      <c r="V210" s="77"/>
      <c r="W210" s="77"/>
      <c r="X210" s="77"/>
      <c r="Y210" s="79"/>
      <c r="Z210" s="77"/>
      <c r="AA210" s="77"/>
      <c r="AB210" s="77"/>
      <c r="AC210" s="77"/>
      <c r="AD210" s="77"/>
      <c r="AE210" s="79"/>
      <c r="AF210" s="77"/>
      <c r="AG210" s="77"/>
      <c r="AH210" s="77"/>
      <c r="AI210" s="77"/>
      <c r="AJ210" s="77"/>
      <c r="AL210" s="57"/>
      <c r="AM210" s="57"/>
      <c r="AN210" s="57"/>
      <c r="AO210" s="57"/>
      <c r="AP210" s="77"/>
      <c r="AR210" s="57"/>
      <c r="AS210" s="57"/>
      <c r="AT210" s="57"/>
      <c r="AU210" s="57"/>
      <c r="AV210" s="77"/>
    </row>
    <row r="211" spans="1:48" ht="16.5" thickBot="1" x14ac:dyDescent="0.3">
      <c r="A211" s="36"/>
      <c r="B211" s="81"/>
      <c r="C211" s="81"/>
      <c r="D211" s="81"/>
      <c r="E211" s="81"/>
      <c r="F211" s="81"/>
      <c r="H211" s="81"/>
      <c r="I211" s="81"/>
      <c r="J211" s="81"/>
      <c r="K211" s="81"/>
      <c r="L211" s="81"/>
      <c r="N211" s="81"/>
      <c r="O211" s="81"/>
      <c r="P211" s="81"/>
      <c r="Q211" s="81"/>
      <c r="R211" s="81"/>
      <c r="T211" s="81"/>
      <c r="U211" s="81"/>
      <c r="V211" s="81"/>
      <c r="W211" s="81"/>
      <c r="X211" s="81"/>
      <c r="Y211" s="194"/>
      <c r="Z211" s="81"/>
      <c r="AA211" s="81"/>
      <c r="AB211" s="81"/>
      <c r="AC211" s="81"/>
      <c r="AD211" s="81"/>
      <c r="AE211" s="194"/>
      <c r="AF211" s="81"/>
      <c r="AG211" s="81"/>
      <c r="AH211" s="81"/>
      <c r="AI211" s="81"/>
      <c r="AJ211" s="81"/>
      <c r="AL211" s="81"/>
      <c r="AM211" s="81"/>
      <c r="AN211" s="81"/>
      <c r="AO211" s="81"/>
      <c r="AP211" s="81"/>
      <c r="AR211" s="81"/>
      <c r="AS211" s="81"/>
      <c r="AT211" s="81"/>
      <c r="AU211" s="81"/>
      <c r="AV211" s="81"/>
    </row>
    <row r="212" spans="1:48" x14ac:dyDescent="0.25">
      <c r="A212" s="37" t="s">
        <v>153</v>
      </c>
      <c r="B212" s="82">
        <v>0</v>
      </c>
      <c r="C212" s="82"/>
      <c r="D212" s="82"/>
      <c r="E212" s="82"/>
      <c r="F212" s="82">
        <f>SUM(B212:E212)</f>
        <v>0</v>
      </c>
      <c r="H212" s="82">
        <v>0</v>
      </c>
      <c r="I212" s="82"/>
      <c r="J212" s="82"/>
      <c r="K212" s="82"/>
      <c r="L212" s="82">
        <f>SUM(H212:K212)</f>
        <v>0</v>
      </c>
      <c r="N212" s="82">
        <v>0</v>
      </c>
      <c r="O212" s="82"/>
      <c r="P212" s="82"/>
      <c r="Q212" s="82"/>
      <c r="R212" s="82">
        <f>SUM(N212:Q212)</f>
        <v>0</v>
      </c>
      <c r="T212" s="82">
        <v>0</v>
      </c>
      <c r="U212" s="82"/>
      <c r="V212" s="82"/>
      <c r="W212" s="82"/>
      <c r="X212" s="82">
        <f>SUM(T212:W212)</f>
        <v>0</v>
      </c>
      <c r="Y212" s="194"/>
      <c r="Z212" s="82">
        <v>700000</v>
      </c>
      <c r="AA212" s="82"/>
      <c r="AB212" s="82"/>
      <c r="AC212" s="82"/>
      <c r="AD212" s="82">
        <f>SUM(Z212:AC212)</f>
        <v>700000</v>
      </c>
      <c r="AE212" s="194"/>
      <c r="AF212" s="82">
        <v>0</v>
      </c>
      <c r="AG212" s="82"/>
      <c r="AH212" s="82"/>
      <c r="AI212" s="82"/>
      <c r="AJ212" s="82">
        <f>SUM(AF212:AI212)</f>
        <v>0</v>
      </c>
      <c r="AL212" s="82"/>
      <c r="AM212" s="82"/>
      <c r="AN212" s="82"/>
      <c r="AO212" s="82"/>
      <c r="AP212" s="82">
        <f>SUM(AL212:AO212)</f>
        <v>0</v>
      </c>
      <c r="AR212" s="82">
        <f>B212+H212+N212+T212+AL212+AF212+Z212</f>
        <v>700000</v>
      </c>
      <c r="AS212" s="82">
        <f t="shared" ref="AS212:AU212" si="420">C212+I212+O212+U212+AM212+AG212+AA212</f>
        <v>0</v>
      </c>
      <c r="AT212" s="82">
        <f t="shared" si="420"/>
        <v>0</v>
      </c>
      <c r="AU212" s="82">
        <f t="shared" si="420"/>
        <v>0</v>
      </c>
      <c r="AV212" s="82">
        <f>SUM(AR212:AU212)</f>
        <v>700000</v>
      </c>
    </row>
    <row r="213" spans="1:48" x14ac:dyDescent="0.25">
      <c r="A213" s="38" t="s">
        <v>154</v>
      </c>
      <c r="B213" s="83">
        <v>312500</v>
      </c>
      <c r="C213" s="83"/>
      <c r="D213" s="83"/>
      <c r="E213" s="83"/>
      <c r="F213" s="82">
        <f t="shared" ref="F213:F215" si="421">SUM(B213:E213)</f>
        <v>312500</v>
      </c>
      <c r="H213" s="83">
        <v>305000</v>
      </c>
      <c r="I213" s="83"/>
      <c r="J213" s="83"/>
      <c r="K213" s="83"/>
      <c r="L213" s="82">
        <f t="shared" ref="L213:L215" si="422">SUM(H213:K213)</f>
        <v>305000</v>
      </c>
      <c r="N213" s="83">
        <v>887500</v>
      </c>
      <c r="O213" s="83"/>
      <c r="P213" s="83"/>
      <c r="Q213" s="83"/>
      <c r="R213" s="82">
        <f t="shared" ref="R213:R215" si="423">SUM(N213:Q213)</f>
        <v>887500</v>
      </c>
      <c r="T213" s="83">
        <v>182500</v>
      </c>
      <c r="U213" s="83"/>
      <c r="V213" s="83"/>
      <c r="W213" s="83"/>
      <c r="X213" s="82">
        <f t="shared" ref="X213:X215" si="424">SUM(T213:W213)</f>
        <v>182500</v>
      </c>
      <c r="Y213" s="194"/>
      <c r="Z213" s="83"/>
      <c r="AA213" s="83"/>
      <c r="AB213" s="83"/>
      <c r="AC213" s="83"/>
      <c r="AD213" s="82">
        <f t="shared" ref="AD213:AD215" si="425">SUM(Z213:AC213)</f>
        <v>0</v>
      </c>
      <c r="AE213" s="194"/>
      <c r="AF213" s="83"/>
      <c r="AG213" s="83"/>
      <c r="AH213" s="83"/>
      <c r="AI213" s="83"/>
      <c r="AJ213" s="82">
        <f t="shared" ref="AJ213:AJ215" si="426">SUM(AF213:AI213)</f>
        <v>0</v>
      </c>
      <c r="AL213" s="83"/>
      <c r="AM213" s="83"/>
      <c r="AN213" s="83"/>
      <c r="AO213" s="83"/>
      <c r="AP213" s="82">
        <f t="shared" ref="AP213:AP215" si="427">SUM(AL213:AO213)</f>
        <v>0</v>
      </c>
      <c r="AR213" s="82">
        <f t="shared" ref="AR213:AR215" si="428">B213+H213+N213+T213+AL213+AF213+Z213</f>
        <v>1687500</v>
      </c>
      <c r="AS213" s="82">
        <f t="shared" ref="AS213:AS215" si="429">C213+I213+O213+U213+AM213+AG213+AA213</f>
        <v>0</v>
      </c>
      <c r="AT213" s="82">
        <f t="shared" ref="AT213:AT215" si="430">D213+J213+P213+V213+AN213+AH213+AB213</f>
        <v>0</v>
      </c>
      <c r="AU213" s="82">
        <f t="shared" ref="AU213:AU215" si="431">E213+K213+Q213+W213+AO213+AI213+AC213</f>
        <v>0</v>
      </c>
      <c r="AV213" s="82">
        <f t="shared" ref="AV213:AV215" si="432">SUM(AR213:AU213)</f>
        <v>1687500</v>
      </c>
    </row>
    <row r="214" spans="1:48" x14ac:dyDescent="0.25">
      <c r="A214" s="38" t="s">
        <v>155</v>
      </c>
      <c r="B214" s="83">
        <v>704882</v>
      </c>
      <c r="C214" s="83"/>
      <c r="D214" s="83"/>
      <c r="E214" s="83"/>
      <c r="F214" s="82">
        <f t="shared" si="421"/>
        <v>704882</v>
      </c>
      <c r="H214" s="83">
        <v>678000</v>
      </c>
      <c r="I214" s="83"/>
      <c r="J214" s="83"/>
      <c r="K214" s="83"/>
      <c r="L214" s="82">
        <f t="shared" si="422"/>
        <v>678000</v>
      </c>
      <c r="N214" s="83">
        <v>2729875</v>
      </c>
      <c r="O214" s="83"/>
      <c r="P214" s="83"/>
      <c r="Q214" s="83"/>
      <c r="R214" s="82">
        <f t="shared" si="423"/>
        <v>2729875</v>
      </c>
      <c r="T214" s="83">
        <v>1068915</v>
      </c>
      <c r="U214" s="83"/>
      <c r="V214" s="83"/>
      <c r="W214" s="83"/>
      <c r="X214" s="82">
        <f t="shared" si="424"/>
        <v>1068915</v>
      </c>
      <c r="Y214" s="194"/>
      <c r="Z214" s="83"/>
      <c r="AA214" s="83"/>
      <c r="AB214" s="83"/>
      <c r="AC214" s="83"/>
      <c r="AD214" s="82">
        <f t="shared" si="425"/>
        <v>0</v>
      </c>
      <c r="AE214" s="194"/>
      <c r="AF214" s="83"/>
      <c r="AG214" s="83"/>
      <c r="AH214" s="83"/>
      <c r="AI214" s="83"/>
      <c r="AJ214" s="82">
        <f t="shared" si="426"/>
        <v>0</v>
      </c>
      <c r="AL214" s="83"/>
      <c r="AM214" s="83"/>
      <c r="AN214" s="83"/>
      <c r="AO214" s="83"/>
      <c r="AP214" s="82">
        <f t="shared" si="427"/>
        <v>0</v>
      </c>
      <c r="AR214" s="82">
        <f t="shared" si="428"/>
        <v>5181672</v>
      </c>
      <c r="AS214" s="82">
        <f t="shared" si="429"/>
        <v>0</v>
      </c>
      <c r="AT214" s="82">
        <f t="shared" si="430"/>
        <v>0</v>
      </c>
      <c r="AU214" s="82">
        <f t="shared" si="431"/>
        <v>0</v>
      </c>
      <c r="AV214" s="82">
        <f t="shared" si="432"/>
        <v>5181672</v>
      </c>
    </row>
    <row r="215" spans="1:48" x14ac:dyDescent="0.25">
      <c r="A215" s="39" t="s">
        <v>156</v>
      </c>
      <c r="B215" s="84">
        <v>0</v>
      </c>
      <c r="C215" s="84"/>
      <c r="D215" s="84"/>
      <c r="E215" s="84"/>
      <c r="F215" s="82">
        <f t="shared" si="421"/>
        <v>0</v>
      </c>
      <c r="H215" s="84">
        <v>0</v>
      </c>
      <c r="I215" s="84"/>
      <c r="J215" s="84"/>
      <c r="K215" s="84"/>
      <c r="L215" s="82">
        <f t="shared" si="422"/>
        <v>0</v>
      </c>
      <c r="N215" s="84">
        <v>0</v>
      </c>
      <c r="O215" s="84"/>
      <c r="P215" s="84"/>
      <c r="Q215" s="84"/>
      <c r="R215" s="82">
        <f t="shared" si="423"/>
        <v>0</v>
      </c>
      <c r="T215" s="84">
        <v>0</v>
      </c>
      <c r="U215" s="84"/>
      <c r="V215" s="84"/>
      <c r="W215" s="84"/>
      <c r="X215" s="82">
        <f t="shared" si="424"/>
        <v>0</v>
      </c>
      <c r="Y215" s="194"/>
      <c r="Z215" s="84">
        <v>0</v>
      </c>
      <c r="AA215" s="84"/>
      <c r="AB215" s="84"/>
      <c r="AC215" s="84"/>
      <c r="AD215" s="82">
        <f t="shared" si="425"/>
        <v>0</v>
      </c>
      <c r="AE215" s="194"/>
      <c r="AF215" s="84">
        <v>0</v>
      </c>
      <c r="AG215" s="84"/>
      <c r="AH215" s="84"/>
      <c r="AI215" s="84"/>
      <c r="AJ215" s="82">
        <f t="shared" si="426"/>
        <v>0</v>
      </c>
      <c r="AL215" s="84"/>
      <c r="AM215" s="84"/>
      <c r="AN215" s="84"/>
      <c r="AO215" s="84"/>
      <c r="AP215" s="82">
        <f t="shared" si="427"/>
        <v>0</v>
      </c>
      <c r="AR215" s="82">
        <f t="shared" si="428"/>
        <v>0</v>
      </c>
      <c r="AS215" s="82">
        <f t="shared" si="429"/>
        <v>0</v>
      </c>
      <c r="AT215" s="82">
        <f t="shared" si="430"/>
        <v>0</v>
      </c>
      <c r="AU215" s="82">
        <f t="shared" si="431"/>
        <v>0</v>
      </c>
      <c r="AV215" s="82">
        <f t="shared" si="432"/>
        <v>0</v>
      </c>
    </row>
    <row r="216" spans="1:48" x14ac:dyDescent="0.25">
      <c r="A216" s="27"/>
      <c r="B216" s="76">
        <f>SUM(B212:B215)</f>
        <v>1017382</v>
      </c>
      <c r="C216" s="76">
        <f t="shared" ref="C216:F216" si="433">SUM(C212:C215)</f>
        <v>0</v>
      </c>
      <c r="D216" s="76">
        <f t="shared" si="433"/>
        <v>0</v>
      </c>
      <c r="E216" s="76">
        <f t="shared" si="433"/>
        <v>0</v>
      </c>
      <c r="F216" s="76">
        <f t="shared" si="433"/>
        <v>1017382</v>
      </c>
      <c r="H216" s="76">
        <f>SUM(H212:H215)</f>
        <v>983000</v>
      </c>
      <c r="I216" s="76">
        <f t="shared" ref="I216:L216" si="434">SUM(I212:I215)</f>
        <v>0</v>
      </c>
      <c r="J216" s="76">
        <f t="shared" si="434"/>
        <v>0</v>
      </c>
      <c r="K216" s="76">
        <f t="shared" si="434"/>
        <v>0</v>
      </c>
      <c r="L216" s="76">
        <f t="shared" si="434"/>
        <v>983000</v>
      </c>
      <c r="N216" s="76">
        <f>SUM(N212:N215)</f>
        <v>3617375</v>
      </c>
      <c r="O216" s="76">
        <f t="shared" ref="O216:R216" si="435">SUM(O212:O215)</f>
        <v>0</v>
      </c>
      <c r="P216" s="76">
        <f t="shared" si="435"/>
        <v>0</v>
      </c>
      <c r="Q216" s="76">
        <f t="shared" si="435"/>
        <v>0</v>
      </c>
      <c r="R216" s="76">
        <f t="shared" si="435"/>
        <v>3617375</v>
      </c>
      <c r="T216" s="76">
        <f t="shared" ref="T216:X216" si="436">SUM(T212:T215)</f>
        <v>1251415</v>
      </c>
      <c r="U216" s="76">
        <f t="shared" si="436"/>
        <v>0</v>
      </c>
      <c r="V216" s="76">
        <f t="shared" si="436"/>
        <v>0</v>
      </c>
      <c r="W216" s="76">
        <f t="shared" si="436"/>
        <v>0</v>
      </c>
      <c r="X216" s="76">
        <f t="shared" si="436"/>
        <v>1251415</v>
      </c>
      <c r="Y216" s="199"/>
      <c r="Z216" s="76">
        <f t="shared" ref="Z216:AD216" si="437">SUM(Z212:Z215)</f>
        <v>700000</v>
      </c>
      <c r="AA216" s="76">
        <f t="shared" si="437"/>
        <v>0</v>
      </c>
      <c r="AB216" s="76">
        <f t="shared" si="437"/>
        <v>0</v>
      </c>
      <c r="AC216" s="76">
        <f t="shared" si="437"/>
        <v>0</v>
      </c>
      <c r="AD216" s="76">
        <f t="shared" si="437"/>
        <v>700000</v>
      </c>
      <c r="AE216" s="199"/>
      <c r="AF216" s="76">
        <f t="shared" ref="AF216:AJ216" si="438">SUM(AF212:AF215)</f>
        <v>0</v>
      </c>
      <c r="AG216" s="76">
        <f t="shared" si="438"/>
        <v>0</v>
      </c>
      <c r="AH216" s="76">
        <f t="shared" si="438"/>
        <v>0</v>
      </c>
      <c r="AI216" s="76">
        <f t="shared" si="438"/>
        <v>0</v>
      </c>
      <c r="AJ216" s="76">
        <f t="shared" si="438"/>
        <v>0</v>
      </c>
      <c r="AL216" s="76">
        <f>SUM(AL212:AL215)</f>
        <v>0</v>
      </c>
      <c r="AM216" s="76">
        <f t="shared" ref="AM216:AP216" si="439">SUM(AM212:AM215)</f>
        <v>0</v>
      </c>
      <c r="AN216" s="76">
        <f t="shared" si="439"/>
        <v>0</v>
      </c>
      <c r="AO216" s="76">
        <f t="shared" si="439"/>
        <v>0</v>
      </c>
      <c r="AP216" s="76">
        <f t="shared" si="439"/>
        <v>0</v>
      </c>
      <c r="AR216" s="76">
        <f>SUM(AR212:AR215)</f>
        <v>7569172</v>
      </c>
      <c r="AS216" s="76">
        <f t="shared" ref="AS216:AV216" si="440">SUM(AS212:AS215)</f>
        <v>0</v>
      </c>
      <c r="AT216" s="76">
        <f t="shared" si="440"/>
        <v>0</v>
      </c>
      <c r="AU216" s="76">
        <f t="shared" si="440"/>
        <v>0</v>
      </c>
      <c r="AV216" s="76">
        <f t="shared" si="440"/>
        <v>7569172</v>
      </c>
    </row>
    <row r="217" spans="1:48" ht="16.5" thickBot="1" x14ac:dyDescent="0.3">
      <c r="B217" s="77"/>
      <c r="C217" s="77"/>
      <c r="D217" s="77"/>
      <c r="E217" s="77"/>
      <c r="F217" s="77"/>
      <c r="H217" s="77"/>
      <c r="I217" s="77"/>
      <c r="J217" s="77"/>
      <c r="K217" s="77"/>
      <c r="L217" s="77"/>
      <c r="N217" s="77"/>
      <c r="O217" s="77"/>
      <c r="P217" s="77"/>
      <c r="Q217" s="77"/>
      <c r="R217" s="77"/>
      <c r="T217" s="77"/>
      <c r="U217" s="77"/>
      <c r="V217" s="77"/>
      <c r="W217" s="77"/>
      <c r="X217" s="77"/>
      <c r="Y217" s="79"/>
      <c r="Z217" s="77"/>
      <c r="AA217" s="77"/>
      <c r="AB217" s="77"/>
      <c r="AC217" s="77"/>
      <c r="AD217" s="77"/>
      <c r="AE217" s="79"/>
      <c r="AF217" s="77"/>
      <c r="AG217" s="77"/>
      <c r="AH217" s="77"/>
      <c r="AI217" s="77"/>
      <c r="AJ217" s="77"/>
      <c r="AL217" s="77"/>
      <c r="AM217" s="77"/>
      <c r="AN217" s="77"/>
      <c r="AO217" s="77"/>
      <c r="AP217" s="77"/>
      <c r="AR217" s="77"/>
      <c r="AS217" s="77"/>
      <c r="AT217" s="77"/>
      <c r="AU217" s="77"/>
      <c r="AV217" s="77"/>
    </row>
    <row r="218" spans="1:48" ht="16.5" thickBot="1" x14ac:dyDescent="0.3">
      <c r="A218" s="40"/>
      <c r="B218" s="85">
        <f t="shared" ref="B218:F218" si="441">(B82+B88)-(B216+B209)</f>
        <v>544694.3182374984</v>
      </c>
      <c r="C218" s="85">
        <f t="shared" si="441"/>
        <v>-329984.69750000001</v>
      </c>
      <c r="D218" s="85">
        <f t="shared" si="441"/>
        <v>-34744.348300000187</v>
      </c>
      <c r="E218" s="85">
        <f t="shared" si="441"/>
        <v>0</v>
      </c>
      <c r="F218" s="85">
        <f t="shared" si="441"/>
        <v>179965.27243749797</v>
      </c>
      <c r="H218" s="85">
        <f t="shared" ref="H218:L218" si="442">(H82+H88)-(H216+H209)</f>
        <v>678826.5042499993</v>
      </c>
      <c r="I218" s="85">
        <f t="shared" si="442"/>
        <v>-239142.63500000001</v>
      </c>
      <c r="J218" s="85">
        <f t="shared" si="442"/>
        <v>-59920.298500000034</v>
      </c>
      <c r="K218" s="85">
        <f t="shared" si="442"/>
        <v>0</v>
      </c>
      <c r="L218" s="85">
        <f t="shared" si="442"/>
        <v>379763.57074999809</v>
      </c>
      <c r="N218" s="85">
        <f t="shared" ref="N218:Q218" si="443">(N82+N88)-(N216+N209)</f>
        <v>1738690.9850000031</v>
      </c>
      <c r="O218" s="85">
        <f t="shared" si="443"/>
        <v>-681888.7174999998</v>
      </c>
      <c r="P218" s="85">
        <f t="shared" si="443"/>
        <v>-321646.348</v>
      </c>
      <c r="Q218" s="85">
        <f t="shared" si="443"/>
        <v>0</v>
      </c>
      <c r="R218" s="85">
        <f>(R82+R88)-(R216+R209)</f>
        <v>735155.91950000077</v>
      </c>
      <c r="T218" s="85">
        <f t="shared" ref="T218:X218" si="444">(T82+T88)-(T216+T209)</f>
        <v>439966.52350000013</v>
      </c>
      <c r="U218" s="85">
        <f t="shared" si="444"/>
        <v>-325352.30000000005</v>
      </c>
      <c r="V218" s="85">
        <f t="shared" si="444"/>
        <v>5289.6375000000116</v>
      </c>
      <c r="W218" s="85">
        <f t="shared" si="444"/>
        <v>0</v>
      </c>
      <c r="X218" s="85">
        <f t="shared" si="444"/>
        <v>119903.8610000005</v>
      </c>
      <c r="Y218" s="199"/>
      <c r="Z218" s="85">
        <f t="shared" ref="Z218:AD218" si="445">(Z82+Z88)-(Z216+Z209)</f>
        <v>113266.93049999978</v>
      </c>
      <c r="AA218" s="85">
        <f t="shared" si="445"/>
        <v>-305616.67499999999</v>
      </c>
      <c r="AB218" s="85">
        <f t="shared" si="445"/>
        <v>-28003.349999999977</v>
      </c>
      <c r="AC218" s="85">
        <f t="shared" si="445"/>
        <v>0</v>
      </c>
      <c r="AD218" s="85">
        <f t="shared" si="445"/>
        <v>-220353.09449999966</v>
      </c>
      <c r="AE218" s="199"/>
      <c r="AF218" s="85">
        <f t="shared" ref="AF218:AJ218" si="446">(AF82+AF88)-(AF216+AF209)</f>
        <v>0</v>
      </c>
      <c r="AG218" s="85">
        <f t="shared" si="446"/>
        <v>0</v>
      </c>
      <c r="AH218" s="85">
        <f t="shared" si="446"/>
        <v>0</v>
      </c>
      <c r="AI218" s="85">
        <f t="shared" si="446"/>
        <v>0</v>
      </c>
      <c r="AJ218" s="85">
        <f t="shared" si="446"/>
        <v>0</v>
      </c>
      <c r="AL218" s="85">
        <f t="shared" ref="AL218:AP218" si="447">(AL82+AL88)-(AL216+AL209)</f>
        <v>-521053.3775</v>
      </c>
      <c r="AM218" s="85">
        <f t="shared" si="447"/>
        <v>-454633.46625</v>
      </c>
      <c r="AN218" s="85">
        <f t="shared" si="447"/>
        <v>-102537.9140625</v>
      </c>
      <c r="AO218" s="85">
        <f t="shared" si="447"/>
        <v>-415.5</v>
      </c>
      <c r="AP218" s="85">
        <f t="shared" si="447"/>
        <v>-1078640.2578125</v>
      </c>
      <c r="AR218" s="85">
        <f t="shared" ref="AR218:AV218" si="448">(AR82+AR88)-(AR216+AR209)</f>
        <v>2994391.8839875013</v>
      </c>
      <c r="AS218" s="85">
        <f t="shared" si="448"/>
        <v>-2336618.49125</v>
      </c>
      <c r="AT218" s="85">
        <f t="shared" si="448"/>
        <v>-541562.62136249989</v>
      </c>
      <c r="AU218" s="85">
        <f t="shared" si="448"/>
        <v>-415.5</v>
      </c>
      <c r="AV218" s="85">
        <f t="shared" si="448"/>
        <v>115795.27137498558</v>
      </c>
    </row>
    <row r="219" spans="1:48" x14ac:dyDescent="0.25">
      <c r="B219" s="77"/>
      <c r="C219" s="77"/>
      <c r="D219" s="77"/>
      <c r="E219" s="77"/>
      <c r="F219" s="77"/>
      <c r="H219" s="77"/>
      <c r="I219" s="77"/>
      <c r="J219" s="77"/>
      <c r="K219" s="77"/>
      <c r="L219" s="77"/>
      <c r="N219" s="77"/>
      <c r="O219" s="77"/>
      <c r="P219" s="77"/>
      <c r="Q219" s="77"/>
      <c r="R219" s="77"/>
      <c r="T219" s="77"/>
      <c r="U219" s="77"/>
      <c r="V219" s="77"/>
      <c r="W219" s="77"/>
      <c r="X219" s="77"/>
      <c r="Y219" s="79"/>
      <c r="Z219" s="77"/>
      <c r="AA219" s="77"/>
      <c r="AB219" s="77"/>
      <c r="AC219" s="77"/>
      <c r="AD219" s="77"/>
      <c r="AE219" s="79"/>
      <c r="AF219" s="77"/>
      <c r="AG219" s="77"/>
      <c r="AH219" s="77"/>
      <c r="AI219" s="77"/>
      <c r="AJ219" s="77"/>
      <c r="AL219" s="77"/>
      <c r="AM219" s="77"/>
      <c r="AN219" s="77"/>
      <c r="AO219" s="77"/>
      <c r="AP219" s="77"/>
      <c r="AR219" s="77"/>
      <c r="AS219" s="77"/>
      <c r="AT219" s="77"/>
      <c r="AU219" s="77"/>
      <c r="AV219" s="77"/>
    </row>
    <row r="220" spans="1:48" x14ac:dyDescent="0.25">
      <c r="A220" s="41" t="str">
        <f>A1</f>
        <v>Mater Academy - System</v>
      </c>
      <c r="B220" s="86" t="str">
        <f t="shared" ref="B220:F220" si="449">B20</f>
        <v>Operating</v>
      </c>
      <c r="C220" s="86" t="str">
        <f t="shared" si="449"/>
        <v>SPED</v>
      </c>
      <c r="D220" s="86" t="str">
        <f t="shared" si="449"/>
        <v>NSLP</v>
      </c>
      <c r="E220" s="86" t="str">
        <f t="shared" si="449"/>
        <v>Other</v>
      </c>
      <c r="F220" s="86" t="str">
        <f t="shared" si="449"/>
        <v>FY27- Mtn</v>
      </c>
      <c r="H220" s="86" t="str">
        <f t="shared" ref="H220:L220" si="450">H20</f>
        <v>Operating</v>
      </c>
      <c r="I220" s="86" t="str">
        <f t="shared" si="450"/>
        <v>SPED</v>
      </c>
      <c r="J220" s="86" t="str">
        <f t="shared" si="450"/>
        <v>NSLP</v>
      </c>
      <c r="K220" s="86" t="str">
        <f t="shared" si="450"/>
        <v>Other</v>
      </c>
      <c r="L220" s="86" t="str">
        <f t="shared" si="450"/>
        <v>FY27- Bon</v>
      </c>
      <c r="N220" s="86" t="str">
        <f t="shared" ref="N220:R220" si="451">N20</f>
        <v>Operating</v>
      </c>
      <c r="O220" s="86" t="str">
        <f t="shared" si="451"/>
        <v>SPED</v>
      </c>
      <c r="P220" s="86" t="str">
        <f t="shared" si="451"/>
        <v>NSLP</v>
      </c>
      <c r="Q220" s="86" t="str">
        <f t="shared" si="451"/>
        <v>Other</v>
      </c>
      <c r="R220" s="86" t="str">
        <f t="shared" si="451"/>
        <v>FY27- East</v>
      </c>
      <c r="T220" s="86" t="str">
        <f t="shared" ref="T220:X220" si="452">T20</f>
        <v>Operating</v>
      </c>
      <c r="U220" s="86" t="str">
        <f t="shared" si="452"/>
        <v>SPED</v>
      </c>
      <c r="V220" s="86" t="str">
        <f t="shared" si="452"/>
        <v>NSLP</v>
      </c>
      <c r="W220" s="86" t="str">
        <f t="shared" si="452"/>
        <v>Other</v>
      </c>
      <c r="X220" s="86" t="str">
        <f t="shared" si="452"/>
        <v>FY27- Cactus</v>
      </c>
      <c r="Y220" s="202"/>
      <c r="Z220" s="86" t="str">
        <f t="shared" ref="Z220:AD220" si="453">Z20</f>
        <v>Operating</v>
      </c>
      <c r="AA220" s="86" t="str">
        <f t="shared" si="453"/>
        <v>SPED</v>
      </c>
      <c r="AB220" s="86" t="str">
        <f t="shared" si="453"/>
        <v>NSLP</v>
      </c>
      <c r="AC220" s="86" t="str">
        <f t="shared" si="453"/>
        <v>Other</v>
      </c>
      <c r="AD220" s="86" t="str">
        <f t="shared" si="453"/>
        <v>FY27- Sahara</v>
      </c>
      <c r="AE220" s="202"/>
      <c r="AF220" s="86" t="str">
        <f t="shared" ref="AF220:AJ220" si="454">AF20</f>
        <v>Operating</v>
      </c>
      <c r="AG220" s="86" t="str">
        <f t="shared" si="454"/>
        <v>SPED</v>
      </c>
      <c r="AH220" s="86" t="str">
        <f t="shared" si="454"/>
        <v>NSLP</v>
      </c>
      <c r="AI220" s="86" t="str">
        <f t="shared" si="454"/>
        <v>Other</v>
      </c>
      <c r="AJ220" s="86" t="str">
        <f t="shared" si="454"/>
        <v>FY27- VV</v>
      </c>
      <c r="AL220" s="86" t="str">
        <f t="shared" ref="AL220:AP220" si="455">AL20</f>
        <v>Operating</v>
      </c>
      <c r="AM220" s="86" t="str">
        <f t="shared" si="455"/>
        <v>SPED</v>
      </c>
      <c r="AN220" s="86" t="str">
        <f t="shared" si="455"/>
        <v>NSLP</v>
      </c>
      <c r="AO220" s="86" t="str">
        <f t="shared" si="455"/>
        <v>Grant</v>
      </c>
      <c r="AP220" s="86" t="str">
        <f t="shared" si="455"/>
        <v>FY27 - Central</v>
      </c>
      <c r="AR220" s="86" t="str">
        <f t="shared" ref="AR220:AV220" si="456">AR20</f>
        <v>Operating</v>
      </c>
      <c r="AS220" s="86" t="str">
        <f t="shared" si="456"/>
        <v>SPED</v>
      </c>
      <c r="AT220" s="86" t="str">
        <f t="shared" si="456"/>
        <v>NSLP</v>
      </c>
      <c r="AU220" s="86" t="str">
        <f t="shared" si="456"/>
        <v>Other</v>
      </c>
      <c r="AV220" s="86" t="str">
        <f t="shared" si="456"/>
        <v>FY27- Sys</v>
      </c>
    </row>
    <row r="221" spans="1:48" x14ac:dyDescent="0.25">
      <c r="H221" s="57"/>
      <c r="I221" s="57"/>
      <c r="J221" s="57"/>
      <c r="K221" s="57"/>
    </row>
    <row r="222" spans="1:48" x14ac:dyDescent="0.25">
      <c r="Z222" s="220">
        <f>Z212/(Z68+AA75)</f>
        <v>0.17002490136126794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B08F-012F-4D9A-A2E7-E08000698BD3}">
  <dimension ref="A1:AW222"/>
  <sheetViews>
    <sheetView workbookViewId="0">
      <pane xSplit="1" topLeftCell="X1" activePane="topRight" state="frozen"/>
      <selection activeCell="T77" sqref="T77"/>
      <selection pane="topRight" activeCell="N111" sqref="N111"/>
    </sheetView>
  </sheetViews>
  <sheetFormatPr defaultRowHeight="15.75" x14ac:dyDescent="0.25"/>
  <cols>
    <col min="1" max="1" width="55.5703125" style="7" bestFit="1" customWidth="1"/>
    <col min="2" max="6" width="14.42578125" customWidth="1"/>
    <col min="8" max="12" width="15" customWidth="1"/>
    <col min="14" max="18" width="15.42578125" customWidth="1"/>
    <col min="20" max="24" width="15.85546875" customWidth="1"/>
    <col min="25" max="25" width="4.140625" customWidth="1"/>
    <col min="26" max="30" width="15.85546875" customWidth="1"/>
    <col min="31" max="31" width="4.140625" customWidth="1"/>
    <col min="32" max="36" width="15.85546875" customWidth="1"/>
    <col min="38" max="42" width="16.42578125" customWidth="1"/>
    <col min="44" max="48" width="16.42578125" customWidth="1"/>
  </cols>
  <sheetData>
    <row r="1" spans="1:45" x14ac:dyDescent="0.25">
      <c r="A1" s="1" t="s">
        <v>0</v>
      </c>
      <c r="B1" s="1" t="s">
        <v>243</v>
      </c>
      <c r="H1" s="1" t="s">
        <v>164</v>
      </c>
      <c r="N1" s="1" t="s">
        <v>246</v>
      </c>
      <c r="O1" s="57"/>
      <c r="T1" s="1" t="s">
        <v>248</v>
      </c>
      <c r="U1" s="57"/>
      <c r="Z1" s="1" t="s">
        <v>328</v>
      </c>
      <c r="AA1" s="57"/>
      <c r="AF1" s="1" t="s">
        <v>297</v>
      </c>
      <c r="AG1" s="57"/>
      <c r="AL1" s="1" t="s">
        <v>250</v>
      </c>
      <c r="AM1" s="57"/>
      <c r="AR1" s="1" t="s">
        <v>335</v>
      </c>
      <c r="AS1" s="57"/>
    </row>
    <row r="2" spans="1:45" x14ac:dyDescent="0.25">
      <c r="A2" s="2" t="s">
        <v>1</v>
      </c>
      <c r="B2" s="42">
        <v>9680</v>
      </c>
      <c r="H2" s="42">
        <f>B2</f>
        <v>9680</v>
      </c>
      <c r="N2" s="42">
        <f>H2</f>
        <v>9680</v>
      </c>
      <c r="O2" s="57"/>
      <c r="T2" s="42">
        <f>N2</f>
        <v>9680</v>
      </c>
      <c r="U2" s="57"/>
      <c r="Z2" s="42">
        <f>T2</f>
        <v>9680</v>
      </c>
      <c r="AA2" s="57"/>
      <c r="AF2" s="42">
        <f>T2</f>
        <v>9680</v>
      </c>
      <c r="AG2" s="57"/>
      <c r="AL2" s="42">
        <f>T2</f>
        <v>9680</v>
      </c>
      <c r="AM2" s="57"/>
      <c r="AR2" s="42">
        <f>AL2</f>
        <v>9680</v>
      </c>
      <c r="AS2" s="57"/>
    </row>
    <row r="3" spans="1:45" x14ac:dyDescent="0.25">
      <c r="A3" s="3" t="s">
        <v>2</v>
      </c>
      <c r="B3" s="43">
        <f>B4+B5+B6+B7+B8+B9+B10+B11+B12+B13+B14+B15+B16</f>
        <v>1028</v>
      </c>
      <c r="H3" s="43">
        <f>H4+H5+H6+H7+H8+H9+H10+H11+H12+H13+H14+H15+H16</f>
        <v>1028</v>
      </c>
      <c r="N3" s="43">
        <f>N4+N5+N6+N7+N8+N9+N10+N11+N12+N13+N14+N15+N16</f>
        <v>2478</v>
      </c>
      <c r="O3" s="90"/>
      <c r="T3" s="43">
        <f>T4+T5+T6+T7+T8+T9+T10+T11+T12+T13+T14+T15+T16</f>
        <v>535</v>
      </c>
      <c r="U3" s="90"/>
      <c r="Z3" s="43">
        <f>Z4+Z5+Z6+Z7+Z8+Z9+Z10+Z11+Z12+Z13+Z14+Z15+Z16</f>
        <v>614</v>
      </c>
      <c r="AA3" s="90"/>
      <c r="AF3" s="43">
        <f>AF4+AF5+AF6+AF7+AF8+AF9+AF10+AF11+AF12+AF13+AF14+AF15+AF16</f>
        <v>780</v>
      </c>
      <c r="AG3" s="90"/>
      <c r="AL3" s="43">
        <f>AL4+AL5+AL6+AL7+AL8+AL9+AL10+AL11+AL12+AL13+AL14+AL15+AL16</f>
        <v>0</v>
      </c>
      <c r="AM3" s="90"/>
      <c r="AR3" s="43">
        <f>AR4+AR5+AR6+AR7+AR8+AR9+AR10+AR11+AR12+AR13+AR14+AR15+AR16</f>
        <v>6463</v>
      </c>
      <c r="AS3" s="90"/>
    </row>
    <row r="4" spans="1:45" x14ac:dyDescent="0.25">
      <c r="A4" s="4" t="s">
        <v>3</v>
      </c>
      <c r="B4" s="44">
        <v>104</v>
      </c>
      <c r="C4" s="92">
        <v>4</v>
      </c>
      <c r="H4" s="44">
        <v>104</v>
      </c>
      <c r="I4" s="92">
        <v>4</v>
      </c>
      <c r="J4" s="166"/>
      <c r="N4" s="45">
        <f>26*4</f>
        <v>104</v>
      </c>
      <c r="O4" s="92">
        <v>4</v>
      </c>
      <c r="P4" s="166"/>
      <c r="T4" s="44">
        <f>25*3</f>
        <v>75</v>
      </c>
      <c r="U4" s="92">
        <v>3</v>
      </c>
      <c r="Z4" s="44">
        <f>26*3</f>
        <v>78</v>
      </c>
      <c r="AA4" s="92">
        <v>3</v>
      </c>
      <c r="AF4" s="44">
        <v>100</v>
      </c>
      <c r="AG4" s="92">
        <v>4</v>
      </c>
      <c r="AL4" s="44"/>
      <c r="AM4" s="90"/>
      <c r="AR4" s="44">
        <f>B4+H4+N4+T4+AL4+AF4+Z4</f>
        <v>565</v>
      </c>
      <c r="AS4" s="90"/>
    </row>
    <row r="5" spans="1:45" x14ac:dyDescent="0.25">
      <c r="A5" s="3" t="s">
        <v>4</v>
      </c>
      <c r="B5" s="44">
        <v>111</v>
      </c>
      <c r="C5" s="92">
        <v>4</v>
      </c>
      <c r="H5" s="44">
        <v>111</v>
      </c>
      <c r="I5" s="92">
        <v>4</v>
      </c>
      <c r="J5" s="166"/>
      <c r="N5" s="45">
        <v>104</v>
      </c>
      <c r="O5" s="92">
        <v>4</v>
      </c>
      <c r="P5" s="166"/>
      <c r="T5" s="44">
        <f>26*3</f>
        <v>78</v>
      </c>
      <c r="U5" s="92">
        <v>3</v>
      </c>
      <c r="Z5" s="44">
        <f>28*3-1</f>
        <v>83</v>
      </c>
      <c r="AA5" s="92">
        <v>3</v>
      </c>
      <c r="AF5" s="44">
        <f>28*4-1</f>
        <v>111</v>
      </c>
      <c r="AG5" s="92">
        <v>4</v>
      </c>
      <c r="AL5" s="44"/>
      <c r="AM5" s="90"/>
      <c r="AR5" s="44">
        <f t="shared" ref="AR5:AR16" si="0">B5+H5+N5+T5+AL5+AF5+Z5</f>
        <v>598</v>
      </c>
      <c r="AS5" s="90"/>
    </row>
    <row r="6" spans="1:45" x14ac:dyDescent="0.25">
      <c r="A6" s="3" t="s">
        <v>5</v>
      </c>
      <c r="B6" s="44">
        <v>111</v>
      </c>
      <c r="C6" s="92">
        <v>4</v>
      </c>
      <c r="H6" s="44">
        <v>111</v>
      </c>
      <c r="I6" s="92">
        <v>4</v>
      </c>
      <c r="J6" s="166"/>
      <c r="N6" s="45">
        <f>27*5</f>
        <v>135</v>
      </c>
      <c r="O6" s="92">
        <v>5</v>
      </c>
      <c r="P6" s="166"/>
      <c r="T6" s="44">
        <v>109</v>
      </c>
      <c r="U6" s="92">
        <v>4</v>
      </c>
      <c r="V6" s="166"/>
      <c r="Z6" s="44">
        <f>28*3-1</f>
        <v>83</v>
      </c>
      <c r="AA6" s="92">
        <v>3</v>
      </c>
      <c r="AB6" s="166"/>
      <c r="AF6" s="44">
        <f t="shared" ref="AF6:AF8" si="1">28*4-1</f>
        <v>111</v>
      </c>
      <c r="AG6" s="92">
        <v>4</v>
      </c>
      <c r="AH6" s="166"/>
      <c r="AL6" s="44"/>
      <c r="AM6" s="90"/>
      <c r="AR6" s="44">
        <f t="shared" si="0"/>
        <v>660</v>
      </c>
      <c r="AS6" s="90"/>
    </row>
    <row r="7" spans="1:45" x14ac:dyDescent="0.25">
      <c r="A7" s="5" t="s">
        <v>6</v>
      </c>
      <c r="B7" s="44">
        <v>111</v>
      </c>
      <c r="C7" s="92">
        <v>4</v>
      </c>
      <c r="H7" s="44">
        <v>111</v>
      </c>
      <c r="I7" s="92">
        <v>4</v>
      </c>
      <c r="J7" s="166"/>
      <c r="N7" s="45">
        <f>28*5</f>
        <v>140</v>
      </c>
      <c r="O7" s="92">
        <v>5</v>
      </c>
      <c r="P7" s="166"/>
      <c r="T7" s="44">
        <f>28*4-3</f>
        <v>109</v>
      </c>
      <c r="U7" s="92">
        <v>4</v>
      </c>
      <c r="V7" s="166"/>
      <c r="Z7" s="44">
        <f>28*3-1</f>
        <v>83</v>
      </c>
      <c r="AA7" s="92">
        <v>3</v>
      </c>
      <c r="AB7" s="166"/>
      <c r="AF7" s="44">
        <f t="shared" si="1"/>
        <v>111</v>
      </c>
      <c r="AG7" s="92">
        <v>4</v>
      </c>
      <c r="AH7" s="166"/>
      <c r="AL7" s="44"/>
      <c r="AM7" s="90"/>
      <c r="AR7" s="44">
        <f t="shared" si="0"/>
        <v>665</v>
      </c>
      <c r="AS7" s="90"/>
    </row>
    <row r="8" spans="1:45" x14ac:dyDescent="0.25">
      <c r="A8" s="5" t="s">
        <v>7</v>
      </c>
      <c r="B8" s="44">
        <v>111</v>
      </c>
      <c r="C8" s="92">
        <v>4</v>
      </c>
      <c r="H8" s="44">
        <v>111</v>
      </c>
      <c r="I8" s="92">
        <v>4</v>
      </c>
      <c r="J8" s="166"/>
      <c r="N8" s="45">
        <f>28*5</f>
        <v>140</v>
      </c>
      <c r="O8" s="92">
        <v>5</v>
      </c>
      <c r="P8" s="166"/>
      <c r="T8" s="44">
        <v>82</v>
      </c>
      <c r="U8" s="92">
        <v>3</v>
      </c>
      <c r="V8" s="166"/>
      <c r="Z8" s="44">
        <v>82</v>
      </c>
      <c r="AA8" s="92">
        <v>3</v>
      </c>
      <c r="AB8" s="166"/>
      <c r="AF8" s="44">
        <f t="shared" si="1"/>
        <v>111</v>
      </c>
      <c r="AG8" s="92">
        <v>4</v>
      </c>
      <c r="AH8" s="166"/>
      <c r="AL8" s="44"/>
      <c r="AM8" s="90"/>
      <c r="AR8" s="44">
        <f t="shared" si="0"/>
        <v>637</v>
      </c>
      <c r="AS8" s="90"/>
    </row>
    <row r="9" spans="1:45" x14ac:dyDescent="0.25">
      <c r="A9" s="5" t="s">
        <v>8</v>
      </c>
      <c r="B9" s="44">
        <v>110</v>
      </c>
      <c r="C9" s="92">
        <v>4</v>
      </c>
      <c r="H9" s="44">
        <v>110</v>
      </c>
      <c r="I9" s="92">
        <v>4</v>
      </c>
      <c r="N9" s="45">
        <f>28*5</f>
        <v>140</v>
      </c>
      <c r="O9" s="92">
        <v>5</v>
      </c>
      <c r="P9" s="166"/>
      <c r="T9" s="44">
        <v>82</v>
      </c>
      <c r="U9" s="92">
        <v>3</v>
      </c>
      <c r="V9" s="166"/>
      <c r="Z9" s="44">
        <v>50</v>
      </c>
      <c r="AA9" s="92">
        <v>2</v>
      </c>
      <c r="AB9" s="166"/>
      <c r="AF9" s="44">
        <f>27*3</f>
        <v>81</v>
      </c>
      <c r="AG9" s="92">
        <v>3</v>
      </c>
      <c r="AH9" s="166"/>
      <c r="AL9" s="44"/>
      <c r="AM9" s="90"/>
      <c r="AR9" s="44">
        <f t="shared" si="0"/>
        <v>573</v>
      </c>
      <c r="AS9" s="90"/>
    </row>
    <row r="10" spans="1:45" x14ac:dyDescent="0.25">
      <c r="A10" s="5" t="s">
        <v>9</v>
      </c>
      <c r="B10" s="44">
        <v>124</v>
      </c>
      <c r="C10" s="92">
        <v>4</v>
      </c>
      <c r="H10" s="44">
        <v>124</v>
      </c>
      <c r="I10" s="92">
        <v>4</v>
      </c>
      <c r="N10" s="45">
        <f>32*5</f>
        <v>160</v>
      </c>
      <c r="O10" s="92">
        <v>5</v>
      </c>
      <c r="P10" s="166"/>
      <c r="T10" s="44">
        <v>0</v>
      </c>
      <c r="U10" s="92"/>
      <c r="Z10" s="44">
        <v>93</v>
      </c>
      <c r="AA10" s="92">
        <v>3</v>
      </c>
      <c r="AF10" s="44">
        <v>155</v>
      </c>
      <c r="AG10" s="92">
        <v>5</v>
      </c>
      <c r="AL10" s="44"/>
      <c r="AM10" s="90"/>
      <c r="AR10" s="44">
        <f t="shared" si="0"/>
        <v>656</v>
      </c>
      <c r="AS10" s="90"/>
    </row>
    <row r="11" spans="1:45" x14ac:dyDescent="0.25">
      <c r="A11" s="5" t="s">
        <v>10</v>
      </c>
      <c r="B11" s="44">
        <v>124</v>
      </c>
      <c r="C11" s="92">
        <v>4</v>
      </c>
      <c r="H11" s="44">
        <v>124</v>
      </c>
      <c r="I11" s="92">
        <v>4</v>
      </c>
      <c r="N11" s="45">
        <f>32*5</f>
        <v>160</v>
      </c>
      <c r="O11" s="92">
        <v>5</v>
      </c>
      <c r="P11" s="166"/>
      <c r="T11" s="44">
        <v>0</v>
      </c>
      <c r="U11" s="92"/>
      <c r="Z11" s="44">
        <v>62</v>
      </c>
      <c r="AA11" s="92">
        <v>2</v>
      </c>
      <c r="AF11" s="44">
        <v>0</v>
      </c>
      <c r="AG11" s="92"/>
      <c r="AL11" s="44"/>
      <c r="AM11" s="90"/>
      <c r="AR11" s="44">
        <f t="shared" si="0"/>
        <v>470</v>
      </c>
      <c r="AS11" s="90"/>
    </row>
    <row r="12" spans="1:45" x14ac:dyDescent="0.25">
      <c r="A12" s="5" t="s">
        <v>11</v>
      </c>
      <c r="B12" s="44">
        <v>122</v>
      </c>
      <c r="C12" s="92">
        <v>4</v>
      </c>
      <c r="H12" s="44">
        <v>122</v>
      </c>
      <c r="I12" s="92">
        <v>4</v>
      </c>
      <c r="N12" s="45">
        <f>32*5</f>
        <v>160</v>
      </c>
      <c r="O12" s="92">
        <v>5</v>
      </c>
      <c r="P12" s="166"/>
      <c r="T12" s="44">
        <v>0</v>
      </c>
      <c r="U12" s="92"/>
      <c r="Z12" s="44">
        <v>0</v>
      </c>
      <c r="AA12" s="92"/>
      <c r="AF12" s="44">
        <v>0</v>
      </c>
      <c r="AG12" s="92"/>
      <c r="AL12" s="44"/>
      <c r="AM12" s="90"/>
      <c r="AR12" s="44">
        <f t="shared" si="0"/>
        <v>404</v>
      </c>
      <c r="AS12" s="90"/>
    </row>
    <row r="13" spans="1:45" x14ac:dyDescent="0.25">
      <c r="A13" s="5" t="s">
        <v>12</v>
      </c>
      <c r="B13" s="45">
        <v>0</v>
      </c>
      <c r="C13" s="92"/>
      <c r="H13" s="45">
        <v>0</v>
      </c>
      <c r="I13" s="92"/>
      <c r="N13" s="45">
        <f>32*11+3</f>
        <v>355</v>
      </c>
      <c r="O13" s="92">
        <v>11</v>
      </c>
      <c r="P13" s="166"/>
      <c r="T13" s="45">
        <v>0</v>
      </c>
      <c r="U13" s="92"/>
      <c r="Z13" s="45">
        <v>0</v>
      </c>
      <c r="AA13" s="92"/>
      <c r="AF13" s="45">
        <v>0</v>
      </c>
      <c r="AG13" s="92"/>
      <c r="AL13" s="45"/>
      <c r="AM13" s="90"/>
      <c r="AR13" s="44">
        <f t="shared" si="0"/>
        <v>355</v>
      </c>
      <c r="AS13" s="90"/>
    </row>
    <row r="14" spans="1:45" x14ac:dyDescent="0.25">
      <c r="A14" s="5" t="s">
        <v>13</v>
      </c>
      <c r="B14" s="45">
        <v>0</v>
      </c>
      <c r="C14" s="92"/>
      <c r="H14" s="45">
        <v>0</v>
      </c>
      <c r="I14" s="92"/>
      <c r="N14" s="45">
        <v>320</v>
      </c>
      <c r="O14" s="92">
        <v>10</v>
      </c>
      <c r="P14" s="166"/>
      <c r="T14" s="45">
        <v>0</v>
      </c>
      <c r="U14" s="92"/>
      <c r="Z14" s="45">
        <v>0</v>
      </c>
      <c r="AA14" s="92"/>
      <c r="AF14" s="45">
        <v>0</v>
      </c>
      <c r="AG14" s="92"/>
      <c r="AL14" s="45">
        <v>0</v>
      </c>
      <c r="AM14" s="90"/>
      <c r="AR14" s="44">
        <f t="shared" si="0"/>
        <v>320</v>
      </c>
      <c r="AS14" s="90"/>
    </row>
    <row r="15" spans="1:45" x14ac:dyDescent="0.25">
      <c r="A15" s="5" t="s">
        <v>14</v>
      </c>
      <c r="B15" s="45">
        <v>0</v>
      </c>
      <c r="C15" s="92"/>
      <c r="H15" s="45">
        <v>0</v>
      </c>
      <c r="I15" s="92"/>
      <c r="N15" s="45">
        <v>285</v>
      </c>
      <c r="O15" s="92">
        <v>10</v>
      </c>
      <c r="P15" s="166"/>
      <c r="T15" s="45">
        <v>0</v>
      </c>
      <c r="U15" s="92"/>
      <c r="Z15" s="45">
        <v>0</v>
      </c>
      <c r="AA15" s="92"/>
      <c r="AF15" s="45">
        <v>0</v>
      </c>
      <c r="AG15" s="92"/>
      <c r="AL15" s="45">
        <v>0</v>
      </c>
      <c r="AM15" s="90"/>
      <c r="AR15" s="44">
        <f t="shared" si="0"/>
        <v>285</v>
      </c>
      <c r="AS15" s="90"/>
    </row>
    <row r="16" spans="1:45" x14ac:dyDescent="0.25">
      <c r="A16" s="5" t="s">
        <v>15</v>
      </c>
      <c r="B16" s="45">
        <v>0</v>
      </c>
      <c r="C16" s="92"/>
      <c r="H16" s="45">
        <v>0</v>
      </c>
      <c r="I16" s="92"/>
      <c r="N16" s="45">
        <v>275</v>
      </c>
      <c r="O16" s="92">
        <v>9</v>
      </c>
      <c r="P16" s="166"/>
      <c r="T16" s="45">
        <v>0</v>
      </c>
      <c r="U16" s="92"/>
      <c r="Z16" s="45">
        <v>0</v>
      </c>
      <c r="AA16" s="92"/>
      <c r="AF16" s="45">
        <v>0</v>
      </c>
      <c r="AG16" s="92"/>
      <c r="AL16" s="45">
        <v>0</v>
      </c>
      <c r="AM16" s="90"/>
      <c r="AR16" s="44">
        <f t="shared" si="0"/>
        <v>275</v>
      </c>
      <c r="AS16" s="90"/>
    </row>
    <row r="17" spans="1:48" x14ac:dyDescent="0.25">
      <c r="A17" s="6" t="s">
        <v>2</v>
      </c>
      <c r="B17" s="43">
        <f>SUM(B4:B16)</f>
        <v>1028</v>
      </c>
      <c r="C17" s="92">
        <f>SUM(C4:C16)</f>
        <v>36</v>
      </c>
      <c r="H17" s="43">
        <f>SUM(H4:H16)</f>
        <v>1028</v>
      </c>
      <c r="I17" s="92">
        <f>SUM(I4:I16)</f>
        <v>36</v>
      </c>
      <c r="N17" s="43">
        <f>SUM(N4:N16)</f>
        <v>2478</v>
      </c>
      <c r="O17" s="92">
        <f>SUM(O4:O16)</f>
        <v>83</v>
      </c>
      <c r="P17" s="166"/>
      <c r="T17" s="43">
        <f>SUM(T4:T16)</f>
        <v>535</v>
      </c>
      <c r="U17" s="92">
        <f>SUM(U4:U16)</f>
        <v>20</v>
      </c>
      <c r="Z17" s="43">
        <f>SUM(Z4:Z16)</f>
        <v>614</v>
      </c>
      <c r="AA17" s="92">
        <f>SUM(AA4:AA16)</f>
        <v>22</v>
      </c>
      <c r="AF17" s="43">
        <f>SUM(AF4:AF16)</f>
        <v>780</v>
      </c>
      <c r="AG17" s="92">
        <f>SUM(AG4:AG16)</f>
        <v>28</v>
      </c>
      <c r="AH17" s="151">
        <f>AF17*0.13</f>
        <v>101.4</v>
      </c>
      <c r="AL17" s="43">
        <f>SUM(AL4:AL16)</f>
        <v>0</v>
      </c>
      <c r="AM17" s="90"/>
      <c r="AR17" s="43">
        <f>SUM(AR4:AR16)</f>
        <v>6463</v>
      </c>
      <c r="AS17" s="90"/>
    </row>
    <row r="20" spans="1:48" x14ac:dyDescent="0.25">
      <c r="A20" s="8" t="s">
        <v>16</v>
      </c>
      <c r="B20" s="46" t="s">
        <v>157</v>
      </c>
      <c r="C20" s="46" t="s">
        <v>158</v>
      </c>
      <c r="D20" s="46" t="s">
        <v>159</v>
      </c>
      <c r="E20" s="46" t="s">
        <v>160</v>
      </c>
      <c r="F20" s="46" t="s">
        <v>244</v>
      </c>
      <c r="H20" s="46" t="s">
        <v>157</v>
      </c>
      <c r="I20" s="46" t="s">
        <v>158</v>
      </c>
      <c r="J20" s="46" t="s">
        <v>159</v>
      </c>
      <c r="K20" s="46" t="s">
        <v>160</v>
      </c>
      <c r="L20" s="46" t="s">
        <v>245</v>
      </c>
      <c r="N20" s="46" t="s">
        <v>157</v>
      </c>
      <c r="O20" s="46" t="s">
        <v>158</v>
      </c>
      <c r="P20" s="46" t="s">
        <v>159</v>
      </c>
      <c r="Q20" s="46" t="s">
        <v>160</v>
      </c>
      <c r="R20" s="46" t="s">
        <v>247</v>
      </c>
      <c r="T20" s="46" t="s">
        <v>157</v>
      </c>
      <c r="U20" s="46" t="s">
        <v>158</v>
      </c>
      <c r="V20" s="46" t="s">
        <v>159</v>
      </c>
      <c r="W20" s="46" t="s">
        <v>160</v>
      </c>
      <c r="X20" s="46" t="s">
        <v>249</v>
      </c>
      <c r="Y20" s="195"/>
      <c r="Z20" s="46" t="s">
        <v>157</v>
      </c>
      <c r="AA20" s="46" t="s">
        <v>158</v>
      </c>
      <c r="AB20" s="46" t="s">
        <v>159</v>
      </c>
      <c r="AC20" s="46" t="s">
        <v>160</v>
      </c>
      <c r="AD20" s="46" t="s">
        <v>329</v>
      </c>
      <c r="AE20" s="195"/>
      <c r="AF20" s="46" t="s">
        <v>157</v>
      </c>
      <c r="AG20" s="46" t="s">
        <v>158</v>
      </c>
      <c r="AH20" s="46" t="s">
        <v>159</v>
      </c>
      <c r="AI20" s="46" t="s">
        <v>160</v>
      </c>
      <c r="AJ20" s="46" t="s">
        <v>298</v>
      </c>
      <c r="AL20" s="46" t="s">
        <v>157</v>
      </c>
      <c r="AM20" s="46" t="s">
        <v>158</v>
      </c>
      <c r="AN20" s="46" t="s">
        <v>159</v>
      </c>
      <c r="AO20" s="46" t="s">
        <v>280</v>
      </c>
      <c r="AP20" s="46" t="s">
        <v>251</v>
      </c>
      <c r="AR20" s="46" t="s">
        <v>157</v>
      </c>
      <c r="AS20" s="46" t="s">
        <v>158</v>
      </c>
      <c r="AT20" s="46" t="s">
        <v>159</v>
      </c>
      <c r="AU20" s="46" t="s">
        <v>160</v>
      </c>
      <c r="AV20" s="46" t="s">
        <v>336</v>
      </c>
    </row>
    <row r="21" spans="1:48" x14ac:dyDescent="0.25">
      <c r="A21" s="5" t="s">
        <v>17</v>
      </c>
      <c r="B21" s="45"/>
      <c r="C21" s="45">
        <v>105</v>
      </c>
      <c r="D21" s="45"/>
      <c r="E21" s="45"/>
      <c r="F21" s="45">
        <f>SUM(B21:E21)</f>
        <v>105</v>
      </c>
      <c r="H21" s="45"/>
      <c r="I21" s="45">
        <v>105</v>
      </c>
      <c r="J21" s="45"/>
      <c r="K21" s="45"/>
      <c r="L21" s="45">
        <f>SUM(H21:K21)</f>
        <v>105</v>
      </c>
      <c r="N21" s="45"/>
      <c r="O21" s="45">
        <v>264</v>
      </c>
      <c r="P21" s="45"/>
      <c r="Q21" s="45"/>
      <c r="R21" s="45">
        <f>SUM(N21:Q21)</f>
        <v>264</v>
      </c>
      <c r="T21" s="45"/>
      <c r="U21" s="45">
        <v>60</v>
      </c>
      <c r="V21" s="45"/>
      <c r="W21" s="45"/>
      <c r="X21" s="45">
        <f>SUM(T21:W21)</f>
        <v>60</v>
      </c>
      <c r="Y21" s="196"/>
      <c r="Z21" s="45"/>
      <c r="AA21" s="45">
        <v>50</v>
      </c>
      <c r="AB21" s="45"/>
      <c r="AC21" s="45"/>
      <c r="AD21" s="45">
        <f>SUM(Z21:AC21)</f>
        <v>50</v>
      </c>
      <c r="AE21" s="196"/>
      <c r="AF21" s="45"/>
      <c r="AG21" s="45">
        <v>95</v>
      </c>
      <c r="AH21" s="45"/>
      <c r="AI21" s="45"/>
      <c r="AJ21" s="45">
        <f>SUM(AF21:AI21)</f>
        <v>95</v>
      </c>
      <c r="AL21" s="47"/>
      <c r="AM21" s="47"/>
      <c r="AN21" s="47"/>
      <c r="AO21" s="45"/>
      <c r="AP21" s="45">
        <f>SUM(AL21:AO21)</f>
        <v>0</v>
      </c>
      <c r="AR21" s="47">
        <f>B21+H21+N21+T21+AL21+AF21+Z21</f>
        <v>0</v>
      </c>
      <c r="AS21" s="47">
        <f t="shared" ref="AS21:AU24" si="2">C21+I21+O21+U21+AM21+AG21+AA21</f>
        <v>679</v>
      </c>
      <c r="AT21" s="47">
        <f t="shared" si="2"/>
        <v>0</v>
      </c>
      <c r="AU21" s="47">
        <f t="shared" si="2"/>
        <v>0</v>
      </c>
      <c r="AV21" s="45">
        <f>SUM(AR21:AU21)</f>
        <v>679</v>
      </c>
    </row>
    <row r="22" spans="1:48" x14ac:dyDescent="0.25">
      <c r="A22" s="5" t="s">
        <v>18</v>
      </c>
      <c r="B22" s="45">
        <v>360</v>
      </c>
      <c r="C22" s="45"/>
      <c r="D22" s="45"/>
      <c r="E22" s="45"/>
      <c r="F22" s="45">
        <f t="shared" ref="F22:F25" si="3">SUM(B22:E22)</f>
        <v>360</v>
      </c>
      <c r="H22" s="45">
        <v>360</v>
      </c>
      <c r="I22" s="45"/>
      <c r="J22" s="45"/>
      <c r="K22" s="45"/>
      <c r="L22" s="45">
        <f t="shared" ref="L22:L25" si="4">SUM(H22:K22)</f>
        <v>360</v>
      </c>
      <c r="N22" s="45">
        <v>730</v>
      </c>
      <c r="O22" s="45"/>
      <c r="P22" s="45"/>
      <c r="Q22" s="45"/>
      <c r="R22" s="45">
        <f t="shared" ref="R22:R25" si="5">SUM(N22:Q22)</f>
        <v>730</v>
      </c>
      <c r="T22" s="45">
        <v>70</v>
      </c>
      <c r="U22" s="45"/>
      <c r="V22" s="45"/>
      <c r="W22" s="45"/>
      <c r="X22" s="45">
        <f t="shared" ref="X22:X25" si="6">SUM(T22:W22)</f>
        <v>70</v>
      </c>
      <c r="Y22" s="196"/>
      <c r="Z22" s="45">
        <v>150</v>
      </c>
      <c r="AA22" s="45"/>
      <c r="AB22" s="45"/>
      <c r="AC22" s="45"/>
      <c r="AD22" s="45">
        <f t="shared" ref="AD22:AD25" si="7">SUM(Z22:AC22)</f>
        <v>150</v>
      </c>
      <c r="AE22" s="196"/>
      <c r="AF22" s="45">
        <v>0</v>
      </c>
      <c r="AG22" s="45"/>
      <c r="AH22" s="45"/>
      <c r="AI22" s="45"/>
      <c r="AJ22" s="45">
        <f t="shared" ref="AJ22:AJ25" si="8">SUM(AF22:AI22)</f>
        <v>0</v>
      </c>
      <c r="AL22" s="47"/>
      <c r="AM22" s="47"/>
      <c r="AN22" s="47"/>
      <c r="AO22" s="45"/>
      <c r="AP22" s="45">
        <f t="shared" ref="AP22:AP25" si="9">SUM(AL22:AO22)</f>
        <v>0</v>
      </c>
      <c r="AR22" s="47">
        <f t="shared" ref="AR22:AR24" si="10">B22+H22+N22+T22+AL22+AF22+Z22</f>
        <v>1670</v>
      </c>
      <c r="AS22" s="47">
        <f t="shared" si="2"/>
        <v>0</v>
      </c>
      <c r="AT22" s="47">
        <f t="shared" si="2"/>
        <v>0</v>
      </c>
      <c r="AU22" s="47">
        <f t="shared" si="2"/>
        <v>0</v>
      </c>
      <c r="AV22" s="45">
        <f t="shared" ref="AV22:AV25" si="11">SUM(AR22:AU22)</f>
        <v>1670</v>
      </c>
    </row>
    <row r="23" spans="1:48" x14ac:dyDescent="0.25">
      <c r="A23" s="5" t="s">
        <v>19</v>
      </c>
      <c r="B23" s="47">
        <v>0</v>
      </c>
      <c r="C23" s="47"/>
      <c r="D23" s="47"/>
      <c r="E23" s="47"/>
      <c r="F23" s="45">
        <f t="shared" si="3"/>
        <v>0</v>
      </c>
      <c r="H23" s="47">
        <v>0</v>
      </c>
      <c r="I23" s="47"/>
      <c r="J23" s="47"/>
      <c r="K23" s="47"/>
      <c r="L23" s="45">
        <f t="shared" si="4"/>
        <v>0</v>
      </c>
      <c r="N23" s="47">
        <v>0</v>
      </c>
      <c r="O23" s="47"/>
      <c r="P23" s="47"/>
      <c r="Q23" s="47"/>
      <c r="R23" s="45">
        <f t="shared" si="5"/>
        <v>0</v>
      </c>
      <c r="T23" s="47">
        <v>0</v>
      </c>
      <c r="U23" s="47"/>
      <c r="V23" s="47"/>
      <c r="W23" s="47"/>
      <c r="X23" s="45">
        <f t="shared" si="6"/>
        <v>0</v>
      </c>
      <c r="Y23" s="196"/>
      <c r="Z23" s="47">
        <v>0</v>
      </c>
      <c r="AA23" s="47"/>
      <c r="AB23" s="47"/>
      <c r="AC23" s="47"/>
      <c r="AD23" s="45">
        <f t="shared" si="7"/>
        <v>0</v>
      </c>
      <c r="AE23" s="196"/>
      <c r="AF23" s="47">
        <v>0</v>
      </c>
      <c r="AG23" s="47"/>
      <c r="AH23" s="47"/>
      <c r="AI23" s="47"/>
      <c r="AJ23" s="45">
        <f t="shared" si="8"/>
        <v>0</v>
      </c>
      <c r="AL23" s="47"/>
      <c r="AM23" s="47"/>
      <c r="AN23" s="47"/>
      <c r="AO23" s="47"/>
      <c r="AP23" s="45">
        <f t="shared" si="9"/>
        <v>0</v>
      </c>
      <c r="AR23" s="47">
        <f t="shared" si="10"/>
        <v>0</v>
      </c>
      <c r="AS23" s="47">
        <f t="shared" si="2"/>
        <v>0</v>
      </c>
      <c r="AT23" s="47">
        <f t="shared" si="2"/>
        <v>0</v>
      </c>
      <c r="AU23" s="47">
        <f t="shared" si="2"/>
        <v>0</v>
      </c>
      <c r="AV23" s="45">
        <f t="shared" si="11"/>
        <v>0</v>
      </c>
    </row>
    <row r="24" spans="1:48" x14ac:dyDescent="0.25">
      <c r="A24" s="5" t="s">
        <v>20</v>
      </c>
      <c r="B24" s="47">
        <v>0</v>
      </c>
      <c r="C24" s="47"/>
      <c r="D24" s="47"/>
      <c r="E24" s="47"/>
      <c r="F24" s="45">
        <f t="shared" si="3"/>
        <v>0</v>
      </c>
      <c r="H24" s="47">
        <v>0</v>
      </c>
      <c r="I24" s="47"/>
      <c r="J24" s="47"/>
      <c r="K24" s="47"/>
      <c r="L24" s="45">
        <f t="shared" si="4"/>
        <v>0</v>
      </c>
      <c r="N24" s="47">
        <v>5</v>
      </c>
      <c r="O24" s="47"/>
      <c r="P24" s="47"/>
      <c r="Q24" s="47"/>
      <c r="R24" s="45">
        <f t="shared" si="5"/>
        <v>5</v>
      </c>
      <c r="T24" s="47">
        <v>0</v>
      </c>
      <c r="U24" s="47"/>
      <c r="V24" s="47"/>
      <c r="W24" s="47"/>
      <c r="X24" s="45">
        <f t="shared" si="6"/>
        <v>0</v>
      </c>
      <c r="Y24" s="196"/>
      <c r="Z24" s="47">
        <v>0</v>
      </c>
      <c r="AA24" s="47"/>
      <c r="AB24" s="47"/>
      <c r="AC24" s="47"/>
      <c r="AD24" s="45">
        <f t="shared" si="7"/>
        <v>0</v>
      </c>
      <c r="AE24" s="196"/>
      <c r="AF24" s="47">
        <v>0</v>
      </c>
      <c r="AG24" s="47"/>
      <c r="AH24" s="47"/>
      <c r="AI24" s="47"/>
      <c r="AJ24" s="45">
        <f t="shared" si="8"/>
        <v>0</v>
      </c>
      <c r="AL24" s="47"/>
      <c r="AM24" s="47"/>
      <c r="AN24" s="47"/>
      <c r="AO24" s="47"/>
      <c r="AP24" s="45">
        <f t="shared" si="9"/>
        <v>0</v>
      </c>
      <c r="AR24" s="47">
        <f t="shared" si="10"/>
        <v>5</v>
      </c>
      <c r="AS24" s="47">
        <f t="shared" si="2"/>
        <v>0</v>
      </c>
      <c r="AT24" s="47">
        <f t="shared" si="2"/>
        <v>0</v>
      </c>
      <c r="AU24" s="47">
        <f t="shared" si="2"/>
        <v>0</v>
      </c>
      <c r="AV24" s="45">
        <f t="shared" si="11"/>
        <v>5</v>
      </c>
    </row>
    <row r="25" spans="1:48" x14ac:dyDescent="0.25">
      <c r="A25" s="5" t="s">
        <v>21</v>
      </c>
      <c r="B25" s="48"/>
      <c r="C25" s="48"/>
      <c r="D25" s="49">
        <v>1</v>
      </c>
      <c r="E25" s="49"/>
      <c r="F25" s="45">
        <f t="shared" si="3"/>
        <v>1</v>
      </c>
      <c r="H25" s="48"/>
      <c r="I25" s="48"/>
      <c r="J25" s="49">
        <v>1</v>
      </c>
      <c r="K25" s="49"/>
      <c r="L25" s="45">
        <f t="shared" si="4"/>
        <v>1</v>
      </c>
      <c r="N25" s="48"/>
      <c r="O25" s="48"/>
      <c r="P25" s="49">
        <v>1</v>
      </c>
      <c r="Q25" s="49"/>
      <c r="R25" s="45">
        <f t="shared" si="5"/>
        <v>1</v>
      </c>
      <c r="T25" s="48"/>
      <c r="U25" s="48"/>
      <c r="V25" s="49">
        <v>1</v>
      </c>
      <c r="W25" s="49"/>
      <c r="X25" s="45">
        <f t="shared" si="6"/>
        <v>1</v>
      </c>
      <c r="Y25" s="196"/>
      <c r="Z25" s="48"/>
      <c r="AA25" s="48"/>
      <c r="AB25" s="49">
        <v>1</v>
      </c>
      <c r="AC25" s="49"/>
      <c r="AD25" s="45">
        <f t="shared" si="7"/>
        <v>1</v>
      </c>
      <c r="AE25" s="196"/>
      <c r="AF25" s="48"/>
      <c r="AG25" s="48"/>
      <c r="AH25" s="49">
        <v>1</v>
      </c>
      <c r="AI25" s="49"/>
      <c r="AJ25" s="45">
        <f t="shared" si="8"/>
        <v>1</v>
      </c>
      <c r="AL25" s="48"/>
      <c r="AM25" s="48"/>
      <c r="AN25" s="49"/>
      <c r="AO25" s="49"/>
      <c r="AP25" s="45">
        <f t="shared" si="9"/>
        <v>0</v>
      </c>
      <c r="AR25" s="47">
        <f t="shared" ref="AR25" si="12">B25+H25+N25+T25+AL25+AF25</f>
        <v>0</v>
      </c>
      <c r="AS25" s="47">
        <f>C25+I25+O25+U25+AM25+AG25</f>
        <v>0</v>
      </c>
      <c r="AT25" s="48">
        <v>1</v>
      </c>
      <c r="AU25" s="47">
        <f>E25+K25+Q25+W25+AO25+AI25</f>
        <v>0</v>
      </c>
      <c r="AV25" s="45">
        <f t="shared" si="11"/>
        <v>1</v>
      </c>
    </row>
    <row r="26" spans="1:48" x14ac:dyDescent="0.25">
      <c r="A26" s="9" t="s">
        <v>22</v>
      </c>
      <c r="B26" s="46" t="s">
        <v>157</v>
      </c>
      <c r="C26" s="46" t="s">
        <v>158</v>
      </c>
      <c r="D26" s="46" t="s">
        <v>159</v>
      </c>
      <c r="E26" s="46" t="str">
        <f>E20</f>
        <v>Other</v>
      </c>
      <c r="F26" s="46" t="str">
        <f>F20</f>
        <v>FY28- Mtn</v>
      </c>
      <c r="H26" s="46" t="s">
        <v>157</v>
      </c>
      <c r="I26" s="46" t="s">
        <v>158</v>
      </c>
      <c r="J26" s="46" t="s">
        <v>159</v>
      </c>
      <c r="K26" s="46" t="str">
        <f>K20</f>
        <v>Other</v>
      </c>
      <c r="L26" s="46" t="str">
        <f>L20</f>
        <v>FY28- Bon</v>
      </c>
      <c r="N26" s="46" t="s">
        <v>157</v>
      </c>
      <c r="O26" s="46" t="s">
        <v>158</v>
      </c>
      <c r="P26" s="46" t="s">
        <v>159</v>
      </c>
      <c r="Q26" s="46" t="str">
        <f>Q20</f>
        <v>Other</v>
      </c>
      <c r="R26" s="46" t="str">
        <f>R20</f>
        <v>FY28- East</v>
      </c>
      <c r="T26" s="46" t="s">
        <v>157</v>
      </c>
      <c r="U26" s="46" t="s">
        <v>158</v>
      </c>
      <c r="V26" s="46" t="s">
        <v>159</v>
      </c>
      <c r="W26" s="46" t="str">
        <f>W20</f>
        <v>Other</v>
      </c>
      <c r="X26" s="46" t="str">
        <f>X20</f>
        <v>FY28- Cactus</v>
      </c>
      <c r="Y26" s="195"/>
      <c r="Z26" s="46" t="s">
        <v>157</v>
      </c>
      <c r="AA26" s="46" t="s">
        <v>158</v>
      </c>
      <c r="AB26" s="46" t="s">
        <v>159</v>
      </c>
      <c r="AC26" s="46" t="str">
        <f>AC20</f>
        <v>Other</v>
      </c>
      <c r="AD26" s="46" t="str">
        <f>AD20</f>
        <v>FY28- Sahara</v>
      </c>
      <c r="AE26" s="195"/>
      <c r="AF26" s="46" t="s">
        <v>157</v>
      </c>
      <c r="AG26" s="46" t="s">
        <v>158</v>
      </c>
      <c r="AH26" s="46" t="s">
        <v>159</v>
      </c>
      <c r="AI26" s="46" t="str">
        <f>AI20</f>
        <v>Other</v>
      </c>
      <c r="AJ26" s="46" t="str">
        <f>AJ20</f>
        <v>FY27- VV</v>
      </c>
      <c r="AL26" s="46" t="s">
        <v>157</v>
      </c>
      <c r="AM26" s="46" t="s">
        <v>158</v>
      </c>
      <c r="AN26" s="46" t="s">
        <v>159</v>
      </c>
      <c r="AO26" s="46" t="str">
        <f>AO20</f>
        <v>Grant</v>
      </c>
      <c r="AP26" s="46" t="str">
        <f>AP20</f>
        <v>FY28 - Central</v>
      </c>
      <c r="AR26" s="46" t="s">
        <v>157</v>
      </c>
      <c r="AS26" s="46" t="s">
        <v>158</v>
      </c>
      <c r="AT26" s="46" t="s">
        <v>159</v>
      </c>
      <c r="AU26" s="46" t="str">
        <f>AU20</f>
        <v>Other</v>
      </c>
      <c r="AV26" s="46" t="str">
        <f>AV20</f>
        <v>FY28- Sys</v>
      </c>
    </row>
    <row r="27" spans="1:48" x14ac:dyDescent="0.25">
      <c r="A27" s="10" t="s">
        <v>23</v>
      </c>
      <c r="B27" s="50">
        <v>36</v>
      </c>
      <c r="C27" s="50"/>
      <c r="D27" s="50"/>
      <c r="E27" s="50"/>
      <c r="F27" s="50">
        <f>SUM(B27:E27)</f>
        <v>36</v>
      </c>
      <c r="H27" s="50">
        <v>36</v>
      </c>
      <c r="I27" s="50"/>
      <c r="J27" s="50"/>
      <c r="K27" s="50"/>
      <c r="L27" s="50">
        <f>SUM(H27:K27)</f>
        <v>36</v>
      </c>
      <c r="N27" s="51">
        <v>83</v>
      </c>
      <c r="O27" s="50"/>
      <c r="P27" s="50"/>
      <c r="Q27" s="50"/>
      <c r="R27" s="50">
        <f>SUM(N27:Q27)</f>
        <v>83</v>
      </c>
      <c r="S27" s="151"/>
      <c r="T27" s="50">
        <v>20</v>
      </c>
      <c r="U27" s="50"/>
      <c r="V27" s="50"/>
      <c r="W27" s="50"/>
      <c r="X27" s="50">
        <f>SUM(T27:W27)</f>
        <v>20</v>
      </c>
      <c r="Y27" s="193"/>
      <c r="Z27" s="50">
        <v>22</v>
      </c>
      <c r="AA27" s="50"/>
      <c r="AB27" s="50"/>
      <c r="AC27" s="50"/>
      <c r="AD27" s="50">
        <f>SUM(Z27:AC27)</f>
        <v>22</v>
      </c>
      <c r="AE27" s="193"/>
      <c r="AF27" s="50">
        <v>28</v>
      </c>
      <c r="AG27" s="50"/>
      <c r="AH27" s="50"/>
      <c r="AI27" s="50"/>
      <c r="AJ27" s="50">
        <f>SUM(AF27:AI27)</f>
        <v>28</v>
      </c>
      <c r="AK27" s="151">
        <f>AJ27/6</f>
        <v>4.666666666666667</v>
      </c>
      <c r="AL27" s="50"/>
      <c r="AM27" s="50"/>
      <c r="AN27" s="50"/>
      <c r="AO27" s="50"/>
      <c r="AP27" s="50">
        <f>SUM(AL27:AO27)</f>
        <v>0</v>
      </c>
      <c r="AR27" s="50">
        <f>B27+H27+N27+T27+AL27+AF27+Z27</f>
        <v>225</v>
      </c>
      <c r="AS27" s="50">
        <f t="shared" ref="AS27:AU35" si="13">C27+I27+O27+U27+AM27+AG27+AA27</f>
        <v>0</v>
      </c>
      <c r="AT27" s="50">
        <f t="shared" si="13"/>
        <v>0</v>
      </c>
      <c r="AU27" s="50">
        <f t="shared" si="13"/>
        <v>0</v>
      </c>
      <c r="AV27" s="50">
        <f>SUM(AR27:AU27)</f>
        <v>225</v>
      </c>
    </row>
    <row r="28" spans="1:48" x14ac:dyDescent="0.25">
      <c r="A28" s="10" t="s">
        <v>24</v>
      </c>
      <c r="B28" s="51">
        <v>0</v>
      </c>
      <c r="C28" s="51">
        <v>5</v>
      </c>
      <c r="D28" s="51"/>
      <c r="E28" s="51"/>
      <c r="F28" s="50">
        <f t="shared" ref="F28:F35" si="14">SUM(B28:E28)</f>
        <v>5</v>
      </c>
      <c r="H28" s="51">
        <v>0</v>
      </c>
      <c r="I28" s="51">
        <v>4</v>
      </c>
      <c r="J28" s="51"/>
      <c r="K28" s="51"/>
      <c r="L28" s="50">
        <f t="shared" ref="L28:L35" si="15">SUM(H28:K28)</f>
        <v>4</v>
      </c>
      <c r="N28" s="51">
        <v>0</v>
      </c>
      <c r="O28" s="51">
        <v>14</v>
      </c>
      <c r="P28" s="51"/>
      <c r="Q28" s="51"/>
      <c r="R28" s="50">
        <f t="shared" ref="R28:R35" si="16">SUM(N28:Q28)</f>
        <v>14</v>
      </c>
      <c r="T28" s="51">
        <v>0</v>
      </c>
      <c r="U28" s="51">
        <v>3</v>
      </c>
      <c r="V28" s="51"/>
      <c r="W28" s="51"/>
      <c r="X28" s="50">
        <f t="shared" ref="X28:X35" si="17">SUM(T28:W28)</f>
        <v>3</v>
      </c>
      <c r="Y28" s="193"/>
      <c r="Z28" s="51">
        <v>0</v>
      </c>
      <c r="AA28" s="51">
        <v>3</v>
      </c>
      <c r="AB28" s="51"/>
      <c r="AC28" s="51"/>
      <c r="AD28" s="50">
        <f t="shared" ref="AD28:AD35" si="18">SUM(Z28:AC28)</f>
        <v>3</v>
      </c>
      <c r="AE28" s="193"/>
      <c r="AF28" s="51">
        <v>0</v>
      </c>
      <c r="AG28" s="51">
        <v>4</v>
      </c>
      <c r="AH28" s="51"/>
      <c r="AI28" s="51"/>
      <c r="AJ28" s="50">
        <f t="shared" ref="AJ28:AJ35" si="19">SUM(AF28:AI28)</f>
        <v>4</v>
      </c>
      <c r="AL28" s="51"/>
      <c r="AM28" s="51"/>
      <c r="AN28" s="51"/>
      <c r="AO28" s="51"/>
      <c r="AP28" s="50">
        <f t="shared" ref="AP28:AP35" si="20">SUM(AL28:AO28)</f>
        <v>0</v>
      </c>
      <c r="AR28" s="50">
        <f t="shared" ref="AR28:AR35" si="21">B28+H28+N28+T28+AL28+AF28+Z28</f>
        <v>0</v>
      </c>
      <c r="AS28" s="50">
        <f t="shared" si="13"/>
        <v>33</v>
      </c>
      <c r="AT28" s="50">
        <f t="shared" si="13"/>
        <v>0</v>
      </c>
      <c r="AU28" s="50">
        <f t="shared" si="13"/>
        <v>0</v>
      </c>
      <c r="AV28" s="50">
        <f t="shared" ref="AV28:AV35" si="22">SUM(AR28:AU28)</f>
        <v>33</v>
      </c>
    </row>
    <row r="29" spans="1:48" x14ac:dyDescent="0.25">
      <c r="A29" s="10" t="s">
        <v>25</v>
      </c>
      <c r="B29" s="50">
        <v>1</v>
      </c>
      <c r="C29" s="50"/>
      <c r="D29" s="50"/>
      <c r="E29" s="50"/>
      <c r="F29" s="50">
        <f t="shared" si="14"/>
        <v>1</v>
      </c>
      <c r="H29" s="50">
        <v>1</v>
      </c>
      <c r="I29" s="50"/>
      <c r="J29" s="50"/>
      <c r="K29" s="50"/>
      <c r="L29" s="50">
        <f t="shared" si="15"/>
        <v>1</v>
      </c>
      <c r="N29" s="50">
        <v>3</v>
      </c>
      <c r="O29" s="50"/>
      <c r="P29" s="50"/>
      <c r="Q29" s="50"/>
      <c r="R29" s="50">
        <f t="shared" si="16"/>
        <v>3</v>
      </c>
      <c r="T29" s="50">
        <v>1</v>
      </c>
      <c r="U29" s="50"/>
      <c r="V29" s="50"/>
      <c r="W29" s="50"/>
      <c r="X29" s="50">
        <f t="shared" si="17"/>
        <v>1</v>
      </c>
      <c r="Y29" s="193"/>
      <c r="Z29" s="50">
        <v>1</v>
      </c>
      <c r="AA29" s="50"/>
      <c r="AB29" s="50"/>
      <c r="AC29" s="50"/>
      <c r="AD29" s="50">
        <f t="shared" si="18"/>
        <v>1</v>
      </c>
      <c r="AE29" s="193"/>
      <c r="AF29" s="50">
        <v>1</v>
      </c>
      <c r="AG29" s="50"/>
      <c r="AH29" s="50"/>
      <c r="AI29" s="50"/>
      <c r="AJ29" s="50">
        <f t="shared" si="19"/>
        <v>1</v>
      </c>
      <c r="AL29" s="50"/>
      <c r="AM29" s="50"/>
      <c r="AN29" s="50"/>
      <c r="AO29" s="50"/>
      <c r="AP29" s="50">
        <f t="shared" si="20"/>
        <v>0</v>
      </c>
      <c r="AR29" s="50">
        <f t="shared" si="21"/>
        <v>8</v>
      </c>
      <c r="AS29" s="50">
        <f t="shared" si="13"/>
        <v>0</v>
      </c>
      <c r="AT29" s="50">
        <f t="shared" si="13"/>
        <v>0</v>
      </c>
      <c r="AU29" s="50">
        <f t="shared" si="13"/>
        <v>0</v>
      </c>
      <c r="AV29" s="50">
        <f t="shared" si="22"/>
        <v>8</v>
      </c>
    </row>
    <row r="30" spans="1:48" x14ac:dyDescent="0.25">
      <c r="A30" s="10" t="s">
        <v>26</v>
      </c>
      <c r="B30" s="50">
        <v>1</v>
      </c>
      <c r="C30" s="50"/>
      <c r="D30" s="50"/>
      <c r="E30" s="50"/>
      <c r="F30" s="50">
        <f t="shared" si="14"/>
        <v>1</v>
      </c>
      <c r="H30" s="50">
        <v>1</v>
      </c>
      <c r="I30" s="50"/>
      <c r="J30" s="50"/>
      <c r="K30" s="50"/>
      <c r="L30" s="50">
        <f t="shared" si="15"/>
        <v>1</v>
      </c>
      <c r="N30" s="50">
        <v>3</v>
      </c>
      <c r="O30" s="50"/>
      <c r="P30" s="50"/>
      <c r="Q30" s="50"/>
      <c r="R30" s="50">
        <f t="shared" si="16"/>
        <v>3</v>
      </c>
      <c r="T30" s="50">
        <v>1</v>
      </c>
      <c r="U30" s="50"/>
      <c r="V30" s="50"/>
      <c r="W30" s="50"/>
      <c r="X30" s="50">
        <f t="shared" si="17"/>
        <v>1</v>
      </c>
      <c r="Y30" s="193"/>
      <c r="Z30" s="50">
        <v>1</v>
      </c>
      <c r="AA30" s="50"/>
      <c r="AB30" s="50"/>
      <c r="AC30" s="50"/>
      <c r="AD30" s="50">
        <f t="shared" si="18"/>
        <v>1</v>
      </c>
      <c r="AE30" s="193"/>
      <c r="AF30" s="50">
        <v>1</v>
      </c>
      <c r="AG30" s="50"/>
      <c r="AH30" s="50"/>
      <c r="AI30" s="50"/>
      <c r="AJ30" s="50">
        <f t="shared" si="19"/>
        <v>1</v>
      </c>
      <c r="AL30" s="50"/>
      <c r="AM30" s="50"/>
      <c r="AN30" s="50"/>
      <c r="AO30" s="50"/>
      <c r="AP30" s="50">
        <f t="shared" si="20"/>
        <v>0</v>
      </c>
      <c r="AR30" s="50">
        <f t="shared" si="21"/>
        <v>8</v>
      </c>
      <c r="AS30" s="50">
        <f t="shared" si="13"/>
        <v>0</v>
      </c>
      <c r="AT30" s="50">
        <f t="shared" si="13"/>
        <v>0</v>
      </c>
      <c r="AU30" s="50">
        <f t="shared" si="13"/>
        <v>0</v>
      </c>
      <c r="AV30" s="50">
        <f t="shared" si="22"/>
        <v>8</v>
      </c>
    </row>
    <row r="31" spans="1:48" x14ac:dyDescent="0.25">
      <c r="A31" s="10" t="s">
        <v>27</v>
      </c>
      <c r="B31" s="50">
        <v>1</v>
      </c>
      <c r="C31" s="50"/>
      <c r="D31" s="50"/>
      <c r="E31" s="50"/>
      <c r="F31" s="50">
        <f t="shared" si="14"/>
        <v>1</v>
      </c>
      <c r="H31" s="50">
        <v>1</v>
      </c>
      <c r="I31" s="50"/>
      <c r="J31" s="50"/>
      <c r="K31" s="50"/>
      <c r="L31" s="50">
        <f t="shared" si="15"/>
        <v>1</v>
      </c>
      <c r="N31" s="50">
        <v>3</v>
      </c>
      <c r="O31" s="50"/>
      <c r="P31" s="50"/>
      <c r="Q31" s="50"/>
      <c r="R31" s="50">
        <f t="shared" si="16"/>
        <v>3</v>
      </c>
      <c r="T31" s="50">
        <v>1</v>
      </c>
      <c r="U31" s="50"/>
      <c r="V31" s="50"/>
      <c r="W31" s="50"/>
      <c r="X31" s="50">
        <f t="shared" si="17"/>
        <v>1</v>
      </c>
      <c r="Y31" s="193"/>
      <c r="Z31" s="50">
        <v>1</v>
      </c>
      <c r="AA31" s="50"/>
      <c r="AB31" s="50"/>
      <c r="AC31" s="50"/>
      <c r="AD31" s="50">
        <f t="shared" si="18"/>
        <v>1</v>
      </c>
      <c r="AE31" s="193"/>
      <c r="AF31" s="50">
        <v>1</v>
      </c>
      <c r="AG31" s="50"/>
      <c r="AH31" s="50"/>
      <c r="AI31" s="50"/>
      <c r="AJ31" s="50">
        <f t="shared" si="19"/>
        <v>1</v>
      </c>
      <c r="AL31" s="50"/>
      <c r="AM31" s="50"/>
      <c r="AN31" s="50"/>
      <c r="AO31" s="50"/>
      <c r="AP31" s="50">
        <f t="shared" si="20"/>
        <v>0</v>
      </c>
      <c r="AR31" s="50">
        <f t="shared" si="21"/>
        <v>8</v>
      </c>
      <c r="AS31" s="50">
        <f t="shared" si="13"/>
        <v>0</v>
      </c>
      <c r="AT31" s="50">
        <f t="shared" si="13"/>
        <v>0</v>
      </c>
      <c r="AU31" s="50">
        <f t="shared" si="13"/>
        <v>0</v>
      </c>
      <c r="AV31" s="50">
        <f t="shared" si="22"/>
        <v>8</v>
      </c>
    </row>
    <row r="32" spans="1:48" x14ac:dyDescent="0.25">
      <c r="A32" s="11" t="s">
        <v>28</v>
      </c>
      <c r="B32" s="50">
        <v>1</v>
      </c>
      <c r="C32" s="50"/>
      <c r="D32" s="50"/>
      <c r="E32" s="50"/>
      <c r="F32" s="50">
        <f t="shared" si="14"/>
        <v>1</v>
      </c>
      <c r="H32" s="50">
        <v>1</v>
      </c>
      <c r="I32" s="50"/>
      <c r="J32" s="50"/>
      <c r="K32" s="50"/>
      <c r="L32" s="50">
        <f t="shared" si="15"/>
        <v>1</v>
      </c>
      <c r="N32" s="50">
        <v>2</v>
      </c>
      <c r="O32" s="50"/>
      <c r="P32" s="50"/>
      <c r="Q32" s="50"/>
      <c r="R32" s="50">
        <f t="shared" si="16"/>
        <v>2</v>
      </c>
      <c r="T32" s="50">
        <v>0</v>
      </c>
      <c r="U32" s="50"/>
      <c r="V32" s="50"/>
      <c r="W32" s="50"/>
      <c r="X32" s="50">
        <f t="shared" si="17"/>
        <v>0</v>
      </c>
      <c r="Y32" s="193"/>
      <c r="Z32" s="50">
        <v>0</v>
      </c>
      <c r="AA32" s="50"/>
      <c r="AB32" s="50"/>
      <c r="AC32" s="50"/>
      <c r="AD32" s="50">
        <f t="shared" si="18"/>
        <v>0</v>
      </c>
      <c r="AE32" s="193"/>
      <c r="AF32" s="50">
        <v>0</v>
      </c>
      <c r="AG32" s="50"/>
      <c r="AH32" s="50"/>
      <c r="AI32" s="50"/>
      <c r="AJ32" s="50">
        <f t="shared" si="19"/>
        <v>0</v>
      </c>
      <c r="AL32" s="50"/>
      <c r="AM32" s="50"/>
      <c r="AN32" s="50"/>
      <c r="AO32" s="50"/>
      <c r="AP32" s="50">
        <f t="shared" si="20"/>
        <v>0</v>
      </c>
      <c r="AR32" s="50">
        <f t="shared" si="21"/>
        <v>4</v>
      </c>
      <c r="AS32" s="50">
        <f t="shared" si="13"/>
        <v>0</v>
      </c>
      <c r="AT32" s="50">
        <f t="shared" si="13"/>
        <v>0</v>
      </c>
      <c r="AU32" s="50">
        <f t="shared" si="13"/>
        <v>0</v>
      </c>
      <c r="AV32" s="50">
        <f t="shared" si="22"/>
        <v>4</v>
      </c>
    </row>
    <row r="33" spans="1:48" x14ac:dyDescent="0.25">
      <c r="A33" s="11" t="s">
        <v>29</v>
      </c>
      <c r="B33" s="50">
        <v>1</v>
      </c>
      <c r="C33" s="50"/>
      <c r="D33" s="50"/>
      <c r="E33" s="50"/>
      <c r="F33" s="50">
        <f t="shared" si="14"/>
        <v>1</v>
      </c>
      <c r="H33" s="50">
        <v>1</v>
      </c>
      <c r="I33" s="50"/>
      <c r="J33" s="50"/>
      <c r="K33" s="50"/>
      <c r="L33" s="50">
        <f t="shared" si="15"/>
        <v>1</v>
      </c>
      <c r="N33" s="50">
        <v>2</v>
      </c>
      <c r="O33" s="50"/>
      <c r="P33" s="50"/>
      <c r="Q33" s="50"/>
      <c r="R33" s="50">
        <f t="shared" si="16"/>
        <v>2</v>
      </c>
      <c r="T33" s="50">
        <v>0</v>
      </c>
      <c r="U33" s="50"/>
      <c r="V33" s="50"/>
      <c r="W33" s="50"/>
      <c r="X33" s="50">
        <f t="shared" si="17"/>
        <v>0</v>
      </c>
      <c r="Y33" s="193"/>
      <c r="Z33" s="50">
        <v>0</v>
      </c>
      <c r="AA33" s="50"/>
      <c r="AB33" s="50"/>
      <c r="AC33" s="50"/>
      <c r="AD33" s="50">
        <f t="shared" si="18"/>
        <v>0</v>
      </c>
      <c r="AE33" s="193"/>
      <c r="AF33" s="50">
        <v>0</v>
      </c>
      <c r="AG33" s="50"/>
      <c r="AH33" s="50"/>
      <c r="AI33" s="50"/>
      <c r="AJ33" s="50">
        <f t="shared" si="19"/>
        <v>0</v>
      </c>
      <c r="AL33" s="50"/>
      <c r="AM33" s="50"/>
      <c r="AN33" s="50"/>
      <c r="AO33" s="50"/>
      <c r="AP33" s="50">
        <f t="shared" si="20"/>
        <v>0</v>
      </c>
      <c r="AR33" s="50">
        <f t="shared" si="21"/>
        <v>4</v>
      </c>
      <c r="AS33" s="50">
        <f t="shared" si="13"/>
        <v>0</v>
      </c>
      <c r="AT33" s="50">
        <f t="shared" si="13"/>
        <v>0</v>
      </c>
      <c r="AU33" s="50">
        <f t="shared" si="13"/>
        <v>0</v>
      </c>
      <c r="AV33" s="50">
        <f t="shared" si="22"/>
        <v>4</v>
      </c>
    </row>
    <row r="34" spans="1:48" x14ac:dyDescent="0.25">
      <c r="A34" s="11" t="s">
        <v>30</v>
      </c>
      <c r="B34" s="50">
        <v>4</v>
      </c>
      <c r="C34" s="50"/>
      <c r="D34" s="50"/>
      <c r="E34" s="50"/>
      <c r="F34" s="50">
        <f t="shared" si="14"/>
        <v>4</v>
      </c>
      <c r="H34" s="50">
        <v>4</v>
      </c>
      <c r="I34" s="50"/>
      <c r="J34" s="50"/>
      <c r="K34" s="50"/>
      <c r="L34" s="50">
        <f t="shared" si="15"/>
        <v>4</v>
      </c>
      <c r="N34" s="210">
        <v>5</v>
      </c>
      <c r="O34" s="50"/>
      <c r="P34" s="50"/>
      <c r="Q34" s="50"/>
      <c r="R34" s="50">
        <f t="shared" si="16"/>
        <v>5</v>
      </c>
      <c r="T34" s="50">
        <v>0</v>
      </c>
      <c r="U34" s="50"/>
      <c r="V34" s="50"/>
      <c r="W34" s="50"/>
      <c r="X34" s="50">
        <f t="shared" si="17"/>
        <v>0</v>
      </c>
      <c r="Y34" s="193"/>
      <c r="Z34" s="50">
        <v>0.5</v>
      </c>
      <c r="AA34" s="50"/>
      <c r="AB34" s="50"/>
      <c r="AC34" s="50"/>
      <c r="AD34" s="50">
        <f t="shared" si="18"/>
        <v>0.5</v>
      </c>
      <c r="AE34" s="193"/>
      <c r="AF34" s="50">
        <v>1</v>
      </c>
      <c r="AG34" s="50"/>
      <c r="AH34" s="50"/>
      <c r="AI34" s="50"/>
      <c r="AJ34" s="50">
        <f t="shared" si="19"/>
        <v>1</v>
      </c>
      <c r="AL34" s="50"/>
      <c r="AM34" s="50"/>
      <c r="AN34" s="50"/>
      <c r="AO34" s="50"/>
      <c r="AP34" s="50">
        <f t="shared" si="20"/>
        <v>0</v>
      </c>
      <c r="AR34" s="50">
        <f t="shared" si="21"/>
        <v>14.5</v>
      </c>
      <c r="AS34" s="50">
        <f t="shared" si="13"/>
        <v>0</v>
      </c>
      <c r="AT34" s="50">
        <f t="shared" si="13"/>
        <v>0</v>
      </c>
      <c r="AU34" s="50">
        <f t="shared" si="13"/>
        <v>0</v>
      </c>
      <c r="AV34" s="50">
        <f t="shared" si="22"/>
        <v>14.5</v>
      </c>
    </row>
    <row r="35" spans="1:48" x14ac:dyDescent="0.25">
      <c r="A35" s="12" t="s">
        <v>31</v>
      </c>
      <c r="B35" s="50">
        <v>0</v>
      </c>
      <c r="C35" s="50"/>
      <c r="D35" s="50"/>
      <c r="E35" s="50"/>
      <c r="F35" s="50">
        <f t="shared" si="14"/>
        <v>0</v>
      </c>
      <c r="H35" s="50">
        <v>0</v>
      </c>
      <c r="I35" s="50"/>
      <c r="J35" s="50"/>
      <c r="K35" s="50"/>
      <c r="L35" s="50">
        <f t="shared" si="15"/>
        <v>0</v>
      </c>
      <c r="N35" s="50">
        <v>0</v>
      </c>
      <c r="O35" s="50"/>
      <c r="P35" s="50"/>
      <c r="Q35" s="50"/>
      <c r="R35" s="50">
        <f t="shared" si="16"/>
        <v>0</v>
      </c>
      <c r="T35" s="50">
        <v>0</v>
      </c>
      <c r="U35" s="50"/>
      <c r="V35" s="50"/>
      <c r="W35" s="50"/>
      <c r="X35" s="50">
        <f t="shared" si="17"/>
        <v>0</v>
      </c>
      <c r="Y35" s="193"/>
      <c r="Z35" s="50">
        <v>0</v>
      </c>
      <c r="AA35" s="50"/>
      <c r="AB35" s="50"/>
      <c r="AC35" s="50"/>
      <c r="AD35" s="50">
        <f t="shared" si="18"/>
        <v>0</v>
      </c>
      <c r="AE35" s="193"/>
      <c r="AF35" s="50">
        <v>0</v>
      </c>
      <c r="AG35" s="50"/>
      <c r="AH35" s="50"/>
      <c r="AI35" s="50"/>
      <c r="AJ35" s="50">
        <f t="shared" si="19"/>
        <v>0</v>
      </c>
      <c r="AL35" s="50"/>
      <c r="AM35" s="50"/>
      <c r="AN35" s="50"/>
      <c r="AO35" s="50"/>
      <c r="AP35" s="50">
        <f t="shared" si="20"/>
        <v>0</v>
      </c>
      <c r="AR35" s="50">
        <f t="shared" si="21"/>
        <v>0</v>
      </c>
      <c r="AS35" s="50">
        <f t="shared" si="13"/>
        <v>0</v>
      </c>
      <c r="AT35" s="50">
        <f t="shared" si="13"/>
        <v>0</v>
      </c>
      <c r="AU35" s="50">
        <f t="shared" si="13"/>
        <v>0</v>
      </c>
      <c r="AV35" s="50">
        <f t="shared" si="22"/>
        <v>0</v>
      </c>
    </row>
    <row r="36" spans="1:48" x14ac:dyDescent="0.25">
      <c r="A36" s="9" t="s">
        <v>32</v>
      </c>
      <c r="B36" s="52">
        <f>SUM(B27:B35)</f>
        <v>45</v>
      </c>
      <c r="C36" s="52">
        <f t="shared" ref="C36:F36" si="23">SUM(C27:C35)</f>
        <v>5</v>
      </c>
      <c r="D36" s="52">
        <f t="shared" si="23"/>
        <v>0</v>
      </c>
      <c r="E36" s="52">
        <f t="shared" si="23"/>
        <v>0</v>
      </c>
      <c r="F36" s="52">
        <f t="shared" si="23"/>
        <v>50</v>
      </c>
      <c r="H36" s="52">
        <f>SUM(H27:H35)</f>
        <v>45</v>
      </c>
      <c r="I36" s="52">
        <f t="shared" ref="I36:L36" si="24">SUM(I27:I35)</f>
        <v>4</v>
      </c>
      <c r="J36" s="52">
        <f t="shared" si="24"/>
        <v>0</v>
      </c>
      <c r="K36" s="52">
        <f t="shared" si="24"/>
        <v>0</v>
      </c>
      <c r="L36" s="52">
        <f t="shared" si="24"/>
        <v>49</v>
      </c>
      <c r="N36" s="52">
        <f>SUM(N27:N35)</f>
        <v>101</v>
      </c>
      <c r="O36" s="52">
        <f t="shared" ref="O36:R36" si="25">SUM(O27:O35)</f>
        <v>14</v>
      </c>
      <c r="P36" s="52">
        <f t="shared" si="25"/>
        <v>0</v>
      </c>
      <c r="Q36" s="52">
        <f t="shared" si="25"/>
        <v>0</v>
      </c>
      <c r="R36" s="52">
        <f t="shared" si="25"/>
        <v>115</v>
      </c>
      <c r="T36" s="52">
        <f t="shared" ref="T36:X36" si="26">SUM(T27:T35)</f>
        <v>23</v>
      </c>
      <c r="U36" s="52">
        <f t="shared" si="26"/>
        <v>3</v>
      </c>
      <c r="V36" s="52">
        <f t="shared" si="26"/>
        <v>0</v>
      </c>
      <c r="W36" s="52">
        <f t="shared" si="26"/>
        <v>0</v>
      </c>
      <c r="X36" s="52">
        <f t="shared" si="26"/>
        <v>26</v>
      </c>
      <c r="Y36" s="197"/>
      <c r="Z36" s="52">
        <f t="shared" ref="Z36:AD36" si="27">SUM(Z27:Z35)</f>
        <v>25.5</v>
      </c>
      <c r="AA36" s="52">
        <f t="shared" si="27"/>
        <v>3</v>
      </c>
      <c r="AB36" s="52">
        <f t="shared" si="27"/>
        <v>0</v>
      </c>
      <c r="AC36" s="52">
        <f t="shared" si="27"/>
        <v>0</v>
      </c>
      <c r="AD36" s="52">
        <f t="shared" si="27"/>
        <v>28.5</v>
      </c>
      <c r="AE36" s="197"/>
      <c r="AF36" s="52">
        <f t="shared" ref="AF36:AJ36" si="28">SUM(AF27:AF35)</f>
        <v>32</v>
      </c>
      <c r="AG36" s="52">
        <f t="shared" si="28"/>
        <v>4</v>
      </c>
      <c r="AH36" s="52">
        <f t="shared" si="28"/>
        <v>0</v>
      </c>
      <c r="AI36" s="52">
        <f t="shared" si="28"/>
        <v>0</v>
      </c>
      <c r="AJ36" s="52">
        <f t="shared" si="28"/>
        <v>36</v>
      </c>
      <c r="AL36" s="52">
        <f>SUM(AL27:AL35)</f>
        <v>0</v>
      </c>
      <c r="AM36" s="52">
        <f t="shared" ref="AM36:AP36" si="29">SUM(AM27:AM35)</f>
        <v>0</v>
      </c>
      <c r="AN36" s="52">
        <f t="shared" si="29"/>
        <v>0</v>
      </c>
      <c r="AO36" s="52">
        <f t="shared" si="29"/>
        <v>0</v>
      </c>
      <c r="AP36" s="52">
        <f t="shared" si="29"/>
        <v>0</v>
      </c>
      <c r="AR36" s="52">
        <f>SUM(AR27:AR35)</f>
        <v>271.5</v>
      </c>
      <c r="AS36" s="52">
        <f t="shared" ref="AS36:AV36" si="30">SUM(AS27:AS35)</f>
        <v>33</v>
      </c>
      <c r="AT36" s="52">
        <f t="shared" si="30"/>
        <v>0</v>
      </c>
      <c r="AU36" s="52">
        <f t="shared" si="30"/>
        <v>0</v>
      </c>
      <c r="AV36" s="52">
        <f t="shared" si="30"/>
        <v>304.5</v>
      </c>
    </row>
    <row r="37" spans="1:48" x14ac:dyDescent="0.25">
      <c r="A37" s="13"/>
      <c r="B37" s="45"/>
      <c r="C37" s="45"/>
      <c r="D37" s="45"/>
      <c r="E37" s="45"/>
      <c r="F37" s="45"/>
      <c r="H37" s="45"/>
      <c r="I37" s="45"/>
      <c r="J37" s="45"/>
      <c r="K37" s="45"/>
      <c r="L37" s="45"/>
      <c r="N37" s="45"/>
      <c r="O37" s="45"/>
      <c r="P37" s="45"/>
      <c r="Q37" s="45"/>
      <c r="R37" s="45"/>
      <c r="T37" s="45"/>
      <c r="U37" s="45"/>
      <c r="V37" s="45"/>
      <c r="W37" s="45"/>
      <c r="X37" s="45"/>
      <c r="Y37" s="196"/>
      <c r="Z37" s="45"/>
      <c r="AA37" s="45"/>
      <c r="AB37" s="45"/>
      <c r="AC37" s="45"/>
      <c r="AD37" s="45"/>
      <c r="AE37" s="196"/>
      <c r="AF37" s="45"/>
      <c r="AG37" s="45"/>
      <c r="AH37" s="45"/>
      <c r="AI37" s="45"/>
      <c r="AJ37" s="45"/>
      <c r="AL37" s="45"/>
      <c r="AM37" s="45"/>
      <c r="AN37" s="45"/>
      <c r="AO37" s="45"/>
      <c r="AP37" s="45"/>
      <c r="AR37" s="45"/>
      <c r="AS37" s="45"/>
      <c r="AT37" s="45"/>
      <c r="AU37" s="45"/>
      <c r="AV37" s="45"/>
    </row>
    <row r="38" spans="1:48" x14ac:dyDescent="0.25">
      <c r="A38" s="9" t="s">
        <v>33</v>
      </c>
      <c r="B38" s="46" t="s">
        <v>157</v>
      </c>
      <c r="C38" s="46" t="s">
        <v>158</v>
      </c>
      <c r="D38" s="46" t="s">
        <v>159</v>
      </c>
      <c r="E38" s="46" t="str">
        <f>E20</f>
        <v>Other</v>
      </c>
      <c r="F38" s="46" t="str">
        <f>F20</f>
        <v>FY28- Mtn</v>
      </c>
      <c r="H38" s="46" t="s">
        <v>157</v>
      </c>
      <c r="I38" s="46" t="s">
        <v>158</v>
      </c>
      <c r="J38" s="46" t="s">
        <v>159</v>
      </c>
      <c r="K38" s="46" t="str">
        <f>K20</f>
        <v>Other</v>
      </c>
      <c r="L38" s="46" t="str">
        <f>L20</f>
        <v>FY28- Bon</v>
      </c>
      <c r="N38" s="46" t="s">
        <v>157</v>
      </c>
      <c r="O38" s="46" t="s">
        <v>158</v>
      </c>
      <c r="P38" s="46" t="s">
        <v>159</v>
      </c>
      <c r="Q38" s="46" t="str">
        <f>Q20</f>
        <v>Other</v>
      </c>
      <c r="R38" s="46" t="str">
        <f>R20</f>
        <v>FY28- East</v>
      </c>
      <c r="T38" s="46" t="s">
        <v>157</v>
      </c>
      <c r="U38" s="46" t="s">
        <v>158</v>
      </c>
      <c r="V38" s="46" t="s">
        <v>159</v>
      </c>
      <c r="W38" s="46" t="str">
        <f>W20</f>
        <v>Other</v>
      </c>
      <c r="X38" s="46" t="str">
        <f>X20</f>
        <v>FY28- Cactus</v>
      </c>
      <c r="Y38" s="195"/>
      <c r="Z38" s="46" t="s">
        <v>157</v>
      </c>
      <c r="AA38" s="46" t="s">
        <v>158</v>
      </c>
      <c r="AB38" s="46" t="s">
        <v>159</v>
      </c>
      <c r="AC38" s="46" t="str">
        <f>AC20</f>
        <v>Other</v>
      </c>
      <c r="AD38" s="46" t="str">
        <f>AD20</f>
        <v>FY28- Sahara</v>
      </c>
      <c r="AE38" s="195"/>
      <c r="AF38" s="46" t="s">
        <v>157</v>
      </c>
      <c r="AG38" s="46" t="s">
        <v>158</v>
      </c>
      <c r="AH38" s="46" t="s">
        <v>159</v>
      </c>
      <c r="AI38" s="46" t="str">
        <f>AI20</f>
        <v>Other</v>
      </c>
      <c r="AJ38" s="46" t="str">
        <f>AJ20</f>
        <v>FY27- VV</v>
      </c>
      <c r="AL38" s="46" t="s">
        <v>157</v>
      </c>
      <c r="AM38" s="46" t="s">
        <v>158</v>
      </c>
      <c r="AN38" s="46" t="s">
        <v>159</v>
      </c>
      <c r="AO38" s="46" t="str">
        <f>AO20</f>
        <v>Grant</v>
      </c>
      <c r="AP38" s="46" t="str">
        <f>AP20</f>
        <v>FY28 - Central</v>
      </c>
      <c r="AR38" s="46" t="s">
        <v>157</v>
      </c>
      <c r="AS38" s="46" t="s">
        <v>158</v>
      </c>
      <c r="AT38" s="46" t="s">
        <v>159</v>
      </c>
      <c r="AU38" s="46" t="str">
        <f>AU20</f>
        <v>Other</v>
      </c>
      <c r="AV38" s="46" t="str">
        <f>AV20</f>
        <v>FY28- Sys</v>
      </c>
    </row>
    <row r="39" spans="1:48" x14ac:dyDescent="0.25">
      <c r="A39" s="11" t="s">
        <v>34</v>
      </c>
      <c r="B39" s="50">
        <v>1</v>
      </c>
      <c r="C39" s="51"/>
      <c r="D39" s="51"/>
      <c r="E39" s="51"/>
      <c r="F39" s="51">
        <f>SUM(B39:E39)</f>
        <v>1</v>
      </c>
      <c r="H39" s="50">
        <v>1</v>
      </c>
      <c r="I39" s="51"/>
      <c r="J39" s="51"/>
      <c r="K39" s="51"/>
      <c r="L39" s="51">
        <f>SUM(H39:K39)</f>
        <v>1</v>
      </c>
      <c r="N39" s="50">
        <v>1</v>
      </c>
      <c r="O39" s="51"/>
      <c r="P39" s="51"/>
      <c r="Q39" s="51"/>
      <c r="R39" s="51">
        <f>SUM(N39:Q39)</f>
        <v>1</v>
      </c>
      <c r="T39" s="50">
        <v>1</v>
      </c>
      <c r="U39" s="51"/>
      <c r="V39" s="51"/>
      <c r="W39" s="51"/>
      <c r="X39" s="51">
        <f>SUM(T39:W39)</f>
        <v>1</v>
      </c>
      <c r="Y39" s="193"/>
      <c r="Z39" s="50">
        <v>1</v>
      </c>
      <c r="AA39" s="51"/>
      <c r="AB39" s="51"/>
      <c r="AC39" s="51"/>
      <c r="AD39" s="51">
        <f>SUM(Z39:AC39)</f>
        <v>1</v>
      </c>
      <c r="AE39" s="193"/>
      <c r="AF39" s="50">
        <v>1</v>
      </c>
      <c r="AG39" s="51"/>
      <c r="AH39" s="51"/>
      <c r="AI39" s="51"/>
      <c r="AJ39" s="51">
        <f>SUM(AF39:AI39)</f>
        <v>1</v>
      </c>
      <c r="AL39" s="50"/>
      <c r="AM39" s="51"/>
      <c r="AN39" s="51"/>
      <c r="AO39" s="51"/>
      <c r="AP39" s="51">
        <f>SUM(AL39:AO39)</f>
        <v>0</v>
      </c>
      <c r="AR39" s="50">
        <f>B39+H39+N39+T39+AL39+AF39+Z39</f>
        <v>6</v>
      </c>
      <c r="AS39" s="50">
        <f t="shared" ref="AS39:AU54" si="31">C39+I39+O39+U39+AM39+AG39+AA39</f>
        <v>0</v>
      </c>
      <c r="AT39" s="50">
        <f t="shared" si="31"/>
        <v>0</v>
      </c>
      <c r="AU39" s="50">
        <f t="shared" si="31"/>
        <v>0</v>
      </c>
      <c r="AV39" s="51">
        <f>SUM(AR39:AU39)</f>
        <v>6</v>
      </c>
    </row>
    <row r="40" spans="1:48" x14ac:dyDescent="0.25">
      <c r="A40" s="11" t="s">
        <v>35</v>
      </c>
      <c r="B40" s="50">
        <v>3</v>
      </c>
      <c r="C40" s="51"/>
      <c r="D40" s="51"/>
      <c r="E40" s="51"/>
      <c r="F40" s="51">
        <f t="shared" ref="F40:F60" si="32">SUM(B40:E40)</f>
        <v>3</v>
      </c>
      <c r="H40" s="50">
        <v>4</v>
      </c>
      <c r="I40" s="51"/>
      <c r="J40" s="51"/>
      <c r="K40" s="51"/>
      <c r="L40" s="51">
        <f t="shared" ref="L40:L60" si="33">SUM(H40:K40)</f>
        <v>4</v>
      </c>
      <c r="N40" s="50">
        <v>5</v>
      </c>
      <c r="O40" s="51"/>
      <c r="P40" s="51"/>
      <c r="Q40" s="51"/>
      <c r="R40" s="51">
        <f t="shared" ref="R40:R60" si="34">SUM(N40:Q40)</f>
        <v>5</v>
      </c>
      <c r="T40" s="50">
        <v>0</v>
      </c>
      <c r="U40" s="51"/>
      <c r="V40" s="51"/>
      <c r="W40" s="51"/>
      <c r="X40" s="51">
        <f t="shared" ref="X40:X60" si="35">SUM(T40:W40)</f>
        <v>0</v>
      </c>
      <c r="Y40" s="193"/>
      <c r="Z40" s="210">
        <v>1</v>
      </c>
      <c r="AA40" s="51"/>
      <c r="AB40" s="51"/>
      <c r="AC40" s="51"/>
      <c r="AD40" s="51">
        <f t="shared" ref="AD40:AD60" si="36">SUM(Z40:AC40)</f>
        <v>1</v>
      </c>
      <c r="AE40" s="193"/>
      <c r="AF40" s="50">
        <v>1</v>
      </c>
      <c r="AG40" s="51"/>
      <c r="AH40" s="51"/>
      <c r="AI40" s="51"/>
      <c r="AJ40" s="51">
        <f t="shared" ref="AJ40:AJ60" si="37">SUM(AF40:AI40)</f>
        <v>1</v>
      </c>
      <c r="AL40" s="50"/>
      <c r="AM40" s="51">
        <v>1</v>
      </c>
      <c r="AN40" s="51"/>
      <c r="AO40" s="51"/>
      <c r="AP40" s="51">
        <f t="shared" ref="AP40:AP60" si="38">SUM(AL40:AO40)</f>
        <v>1</v>
      </c>
      <c r="AR40" s="50">
        <f t="shared" ref="AR40:AU60" si="39">B40+H40+N40+T40+AL40+AF40+Z40</f>
        <v>14</v>
      </c>
      <c r="AS40" s="50">
        <f t="shared" si="31"/>
        <v>1</v>
      </c>
      <c r="AT40" s="50">
        <f t="shared" si="31"/>
        <v>0</v>
      </c>
      <c r="AU40" s="50">
        <f t="shared" si="31"/>
        <v>0</v>
      </c>
      <c r="AV40" s="51">
        <f t="shared" ref="AV40:AV60" si="40">SUM(AR40:AU40)</f>
        <v>15</v>
      </c>
    </row>
    <row r="41" spans="1:48" x14ac:dyDescent="0.25">
      <c r="A41" s="14" t="s">
        <v>36</v>
      </c>
      <c r="B41" s="50">
        <v>1</v>
      </c>
      <c r="C41" s="51"/>
      <c r="D41" s="51"/>
      <c r="E41" s="51"/>
      <c r="F41" s="51">
        <f t="shared" si="32"/>
        <v>1</v>
      </c>
      <c r="H41" s="50">
        <v>1</v>
      </c>
      <c r="I41" s="51"/>
      <c r="J41" s="51"/>
      <c r="K41" s="51"/>
      <c r="L41" s="51">
        <f t="shared" si="33"/>
        <v>1</v>
      </c>
      <c r="N41" s="50">
        <v>1</v>
      </c>
      <c r="O41" s="51"/>
      <c r="P41" s="51"/>
      <c r="Q41" s="51"/>
      <c r="R41" s="51">
        <f t="shared" si="34"/>
        <v>1</v>
      </c>
      <c r="T41" s="50"/>
      <c r="U41" s="51"/>
      <c r="V41" s="51"/>
      <c r="W41" s="51"/>
      <c r="X41" s="51">
        <f t="shared" si="35"/>
        <v>0</v>
      </c>
      <c r="Y41" s="193"/>
      <c r="Z41" s="50"/>
      <c r="AA41" s="51"/>
      <c r="AB41" s="51"/>
      <c r="AC41" s="51"/>
      <c r="AD41" s="51">
        <f t="shared" si="36"/>
        <v>0</v>
      </c>
      <c r="AE41" s="193"/>
      <c r="AF41" s="50">
        <v>1</v>
      </c>
      <c r="AG41" s="51"/>
      <c r="AH41" s="51"/>
      <c r="AI41" s="51"/>
      <c r="AJ41" s="51">
        <f t="shared" si="37"/>
        <v>1</v>
      </c>
      <c r="AL41" s="50"/>
      <c r="AM41" s="51"/>
      <c r="AN41" s="51"/>
      <c r="AO41" s="51">
        <v>2</v>
      </c>
      <c r="AP41" s="51">
        <f t="shared" si="38"/>
        <v>2</v>
      </c>
      <c r="AR41" s="50">
        <f t="shared" si="39"/>
        <v>4</v>
      </c>
      <c r="AS41" s="50">
        <f t="shared" si="31"/>
        <v>0</v>
      </c>
      <c r="AT41" s="50">
        <f t="shared" si="31"/>
        <v>0</v>
      </c>
      <c r="AU41" s="50">
        <f t="shared" si="31"/>
        <v>2</v>
      </c>
      <c r="AV41" s="51">
        <f t="shared" si="40"/>
        <v>6</v>
      </c>
    </row>
    <row r="42" spans="1:48" x14ac:dyDescent="0.25">
      <c r="A42" s="11" t="s">
        <v>37</v>
      </c>
      <c r="B42" s="50"/>
      <c r="C42" s="51"/>
      <c r="D42" s="51"/>
      <c r="E42" s="51"/>
      <c r="F42" s="51">
        <f t="shared" si="32"/>
        <v>0</v>
      </c>
      <c r="H42" s="50"/>
      <c r="I42" s="51"/>
      <c r="J42" s="51"/>
      <c r="K42" s="51"/>
      <c r="L42" s="51">
        <f t="shared" si="33"/>
        <v>0</v>
      </c>
      <c r="N42" s="50"/>
      <c r="O42" s="51"/>
      <c r="P42" s="51"/>
      <c r="Q42" s="51"/>
      <c r="R42" s="51">
        <f t="shared" si="34"/>
        <v>0</v>
      </c>
      <c r="T42" s="50">
        <v>0</v>
      </c>
      <c r="U42" s="51"/>
      <c r="V42" s="51"/>
      <c r="W42" s="51"/>
      <c r="X42" s="51">
        <f t="shared" si="35"/>
        <v>0</v>
      </c>
      <c r="Y42" s="193"/>
      <c r="Z42" s="50">
        <v>0</v>
      </c>
      <c r="AA42" s="51"/>
      <c r="AB42" s="51"/>
      <c r="AC42" s="51"/>
      <c r="AD42" s="51">
        <f t="shared" si="36"/>
        <v>0</v>
      </c>
      <c r="AE42" s="193"/>
      <c r="AF42" s="50">
        <v>0</v>
      </c>
      <c r="AG42" s="51"/>
      <c r="AH42" s="51"/>
      <c r="AI42" s="51"/>
      <c r="AJ42" s="51">
        <f t="shared" si="37"/>
        <v>0</v>
      </c>
      <c r="AL42" s="50"/>
      <c r="AM42" s="51"/>
      <c r="AN42" s="51"/>
      <c r="AO42" s="51"/>
      <c r="AP42" s="51">
        <f t="shared" si="38"/>
        <v>0</v>
      </c>
      <c r="AR42" s="50">
        <f t="shared" si="39"/>
        <v>0</v>
      </c>
      <c r="AS42" s="50">
        <f t="shared" si="31"/>
        <v>0</v>
      </c>
      <c r="AT42" s="50">
        <f t="shared" si="31"/>
        <v>0</v>
      </c>
      <c r="AU42" s="50">
        <f t="shared" si="31"/>
        <v>0</v>
      </c>
      <c r="AV42" s="51">
        <f t="shared" si="40"/>
        <v>0</v>
      </c>
    </row>
    <row r="43" spans="1:48" x14ac:dyDescent="0.25">
      <c r="A43" s="11" t="s">
        <v>38</v>
      </c>
      <c r="B43" s="50">
        <v>2</v>
      </c>
      <c r="C43" s="51"/>
      <c r="D43" s="51"/>
      <c r="E43" s="51"/>
      <c r="F43" s="51">
        <f t="shared" si="32"/>
        <v>2</v>
      </c>
      <c r="H43" s="50">
        <v>1.5</v>
      </c>
      <c r="I43" s="51"/>
      <c r="J43" s="51"/>
      <c r="K43" s="51"/>
      <c r="L43" s="51">
        <f t="shared" si="33"/>
        <v>1.5</v>
      </c>
      <c r="N43" s="50">
        <v>4</v>
      </c>
      <c r="O43" s="51"/>
      <c r="P43" s="51"/>
      <c r="Q43" s="51"/>
      <c r="R43" s="51">
        <f t="shared" si="34"/>
        <v>4</v>
      </c>
      <c r="T43" s="50">
        <v>1</v>
      </c>
      <c r="U43" s="51"/>
      <c r="V43" s="51"/>
      <c r="W43" s="51"/>
      <c r="X43" s="51">
        <f t="shared" si="35"/>
        <v>1</v>
      </c>
      <c r="Y43" s="193"/>
      <c r="Z43" s="50">
        <v>1</v>
      </c>
      <c r="AA43" s="51"/>
      <c r="AB43" s="51"/>
      <c r="AC43" s="51"/>
      <c r="AD43" s="51">
        <f t="shared" si="36"/>
        <v>1</v>
      </c>
      <c r="AE43" s="193"/>
      <c r="AF43" s="50">
        <v>0</v>
      </c>
      <c r="AG43" s="51"/>
      <c r="AH43" s="51"/>
      <c r="AI43" s="51"/>
      <c r="AJ43" s="51">
        <f t="shared" si="37"/>
        <v>0</v>
      </c>
      <c r="AL43" s="50"/>
      <c r="AM43" s="51"/>
      <c r="AN43" s="51"/>
      <c r="AO43" s="51">
        <v>3</v>
      </c>
      <c r="AP43" s="51">
        <f t="shared" si="38"/>
        <v>3</v>
      </c>
      <c r="AR43" s="50">
        <f t="shared" si="39"/>
        <v>9.5</v>
      </c>
      <c r="AS43" s="50">
        <f t="shared" si="31"/>
        <v>0</v>
      </c>
      <c r="AT43" s="50">
        <f t="shared" si="31"/>
        <v>0</v>
      </c>
      <c r="AU43" s="50">
        <f t="shared" si="31"/>
        <v>3</v>
      </c>
      <c r="AV43" s="51">
        <f t="shared" si="40"/>
        <v>12.5</v>
      </c>
    </row>
    <row r="44" spans="1:48" x14ac:dyDescent="0.25">
      <c r="A44" s="11" t="s">
        <v>39</v>
      </c>
      <c r="B44" s="50">
        <v>2</v>
      </c>
      <c r="C44" s="51"/>
      <c r="D44" s="51"/>
      <c r="E44" s="51"/>
      <c r="F44" s="51">
        <f t="shared" si="32"/>
        <v>2</v>
      </c>
      <c r="H44" s="50">
        <v>2</v>
      </c>
      <c r="I44" s="51"/>
      <c r="J44" s="51"/>
      <c r="K44" s="51"/>
      <c r="L44" s="51">
        <f t="shared" si="33"/>
        <v>2</v>
      </c>
      <c r="N44" s="50">
        <v>5</v>
      </c>
      <c r="O44" s="51"/>
      <c r="P44" s="51"/>
      <c r="Q44" s="51"/>
      <c r="R44" s="51">
        <f t="shared" si="34"/>
        <v>5</v>
      </c>
      <c r="T44" s="50"/>
      <c r="U44" s="51"/>
      <c r="V44" s="51"/>
      <c r="W44" s="51"/>
      <c r="X44" s="51">
        <f t="shared" si="35"/>
        <v>0</v>
      </c>
      <c r="Y44" s="193"/>
      <c r="Z44" s="50"/>
      <c r="AA44" s="51"/>
      <c r="AB44" s="51"/>
      <c r="AC44" s="51"/>
      <c r="AD44" s="51">
        <f t="shared" si="36"/>
        <v>0</v>
      </c>
      <c r="AE44" s="193"/>
      <c r="AF44" s="50"/>
      <c r="AG44" s="51"/>
      <c r="AH44" s="51"/>
      <c r="AI44" s="51"/>
      <c r="AJ44" s="51">
        <f t="shared" si="37"/>
        <v>0</v>
      </c>
      <c r="AL44" s="50"/>
      <c r="AM44" s="51"/>
      <c r="AN44" s="51"/>
      <c r="AO44" s="51">
        <v>2</v>
      </c>
      <c r="AP44" s="51">
        <f t="shared" si="38"/>
        <v>2</v>
      </c>
      <c r="AR44" s="50">
        <f t="shared" si="39"/>
        <v>9</v>
      </c>
      <c r="AS44" s="50">
        <f t="shared" si="31"/>
        <v>0</v>
      </c>
      <c r="AT44" s="50">
        <f t="shared" si="31"/>
        <v>0</v>
      </c>
      <c r="AU44" s="50">
        <f t="shared" si="31"/>
        <v>2</v>
      </c>
      <c r="AV44" s="51">
        <f t="shared" si="40"/>
        <v>11</v>
      </c>
    </row>
    <row r="45" spans="1:48" x14ac:dyDescent="0.25">
      <c r="A45" s="11" t="s">
        <v>40</v>
      </c>
      <c r="B45" s="50">
        <v>2</v>
      </c>
      <c r="C45" s="51"/>
      <c r="D45" s="51"/>
      <c r="E45" s="51"/>
      <c r="F45" s="51">
        <f t="shared" si="32"/>
        <v>2</v>
      </c>
      <c r="H45" s="50">
        <v>1</v>
      </c>
      <c r="I45" s="51"/>
      <c r="J45" s="51"/>
      <c r="K45" s="51"/>
      <c r="L45" s="51">
        <f t="shared" si="33"/>
        <v>1</v>
      </c>
      <c r="N45" s="50"/>
      <c r="O45" s="51"/>
      <c r="P45" s="51"/>
      <c r="Q45" s="51"/>
      <c r="R45" s="51">
        <f t="shared" si="34"/>
        <v>0</v>
      </c>
      <c r="T45" s="50"/>
      <c r="U45" s="51"/>
      <c r="V45" s="51"/>
      <c r="W45" s="51"/>
      <c r="X45" s="51">
        <f t="shared" si="35"/>
        <v>0</v>
      </c>
      <c r="Y45" s="193"/>
      <c r="Z45" s="50"/>
      <c r="AA45" s="51"/>
      <c r="AB45" s="51"/>
      <c r="AC45" s="51"/>
      <c r="AD45" s="51">
        <f t="shared" si="36"/>
        <v>0</v>
      </c>
      <c r="AE45" s="193"/>
      <c r="AF45" s="50"/>
      <c r="AG45" s="51"/>
      <c r="AH45" s="51"/>
      <c r="AI45" s="51"/>
      <c r="AJ45" s="51">
        <f t="shared" si="37"/>
        <v>0</v>
      </c>
      <c r="AL45" s="50">
        <v>1</v>
      </c>
      <c r="AM45" s="51"/>
      <c r="AN45" s="51"/>
      <c r="AO45" s="51"/>
      <c r="AP45" s="51">
        <f t="shared" si="38"/>
        <v>1</v>
      </c>
      <c r="AR45" s="50">
        <f t="shared" si="39"/>
        <v>4</v>
      </c>
      <c r="AS45" s="50">
        <f t="shared" si="31"/>
        <v>0</v>
      </c>
      <c r="AT45" s="50">
        <f t="shared" si="31"/>
        <v>0</v>
      </c>
      <c r="AU45" s="50">
        <f t="shared" si="31"/>
        <v>0</v>
      </c>
      <c r="AV45" s="51">
        <f t="shared" si="40"/>
        <v>4</v>
      </c>
    </row>
    <row r="46" spans="1:48" x14ac:dyDescent="0.25">
      <c r="A46" s="11" t="s">
        <v>41</v>
      </c>
      <c r="B46" s="50">
        <v>2</v>
      </c>
      <c r="C46" s="51"/>
      <c r="D46" s="51"/>
      <c r="E46" s="51"/>
      <c r="F46" s="51">
        <f t="shared" si="32"/>
        <v>2</v>
      </c>
      <c r="H46" s="50">
        <v>2</v>
      </c>
      <c r="I46" s="51"/>
      <c r="J46" s="51"/>
      <c r="K46" s="51"/>
      <c r="L46" s="51">
        <f t="shared" si="33"/>
        <v>2</v>
      </c>
      <c r="N46" s="50">
        <v>3</v>
      </c>
      <c r="O46" s="51"/>
      <c r="P46" s="51"/>
      <c r="Q46" s="51"/>
      <c r="R46" s="51">
        <f t="shared" si="34"/>
        <v>3</v>
      </c>
      <c r="T46" s="50">
        <v>1</v>
      </c>
      <c r="U46" s="51"/>
      <c r="V46" s="51"/>
      <c r="W46" s="51"/>
      <c r="X46" s="51">
        <f t="shared" si="35"/>
        <v>1</v>
      </c>
      <c r="Y46" s="193"/>
      <c r="Z46" s="50">
        <v>1</v>
      </c>
      <c r="AA46" s="51"/>
      <c r="AB46" s="51"/>
      <c r="AC46" s="51"/>
      <c r="AD46" s="51">
        <f t="shared" si="36"/>
        <v>1</v>
      </c>
      <c r="AE46" s="193"/>
      <c r="AF46" s="50">
        <v>1</v>
      </c>
      <c r="AG46" s="51"/>
      <c r="AH46" s="51"/>
      <c r="AI46" s="51"/>
      <c r="AJ46" s="51">
        <f t="shared" si="37"/>
        <v>1</v>
      </c>
      <c r="AL46" s="50">
        <v>1</v>
      </c>
      <c r="AM46" s="51"/>
      <c r="AN46" s="51"/>
      <c r="AO46" s="51"/>
      <c r="AP46" s="51">
        <f t="shared" si="38"/>
        <v>1</v>
      </c>
      <c r="AR46" s="50">
        <f t="shared" si="39"/>
        <v>11</v>
      </c>
      <c r="AS46" s="50">
        <f t="shared" si="31"/>
        <v>0</v>
      </c>
      <c r="AT46" s="50">
        <f t="shared" si="31"/>
        <v>0</v>
      </c>
      <c r="AU46" s="50">
        <f t="shared" si="31"/>
        <v>0</v>
      </c>
      <c r="AV46" s="51">
        <f t="shared" si="40"/>
        <v>11</v>
      </c>
    </row>
    <row r="47" spans="1:48" x14ac:dyDescent="0.25">
      <c r="A47" s="11" t="s">
        <v>42</v>
      </c>
      <c r="B47" s="50">
        <v>1</v>
      </c>
      <c r="C47" s="51"/>
      <c r="D47" s="51"/>
      <c r="E47" s="51"/>
      <c r="F47" s="51">
        <f t="shared" si="32"/>
        <v>1</v>
      </c>
      <c r="H47" s="50">
        <v>1</v>
      </c>
      <c r="I47" s="51"/>
      <c r="J47" s="51"/>
      <c r="K47" s="51"/>
      <c r="L47" s="51">
        <f t="shared" si="33"/>
        <v>1</v>
      </c>
      <c r="N47" s="50">
        <v>2</v>
      </c>
      <c r="O47" s="51"/>
      <c r="P47" s="51"/>
      <c r="Q47" s="51"/>
      <c r="R47" s="51">
        <f t="shared" si="34"/>
        <v>2</v>
      </c>
      <c r="T47" s="50">
        <v>0</v>
      </c>
      <c r="U47" s="51"/>
      <c r="V47" s="51"/>
      <c r="W47" s="51"/>
      <c r="X47" s="51">
        <f t="shared" si="35"/>
        <v>0</v>
      </c>
      <c r="Y47" s="193"/>
      <c r="Z47" s="210">
        <v>1</v>
      </c>
      <c r="AA47" s="51"/>
      <c r="AB47" s="51"/>
      <c r="AC47" s="51"/>
      <c r="AD47" s="51">
        <f t="shared" si="36"/>
        <v>1</v>
      </c>
      <c r="AE47" s="193"/>
      <c r="AF47" s="50">
        <v>1</v>
      </c>
      <c r="AG47" s="51"/>
      <c r="AH47" s="51"/>
      <c r="AI47" s="51"/>
      <c r="AJ47" s="51">
        <f t="shared" si="37"/>
        <v>1</v>
      </c>
      <c r="AL47" s="50"/>
      <c r="AM47" s="51"/>
      <c r="AN47" s="51"/>
      <c r="AO47" s="51"/>
      <c r="AP47" s="51">
        <f t="shared" si="38"/>
        <v>0</v>
      </c>
      <c r="AR47" s="50">
        <f t="shared" si="39"/>
        <v>6</v>
      </c>
      <c r="AS47" s="50">
        <f t="shared" si="31"/>
        <v>0</v>
      </c>
      <c r="AT47" s="50">
        <f t="shared" si="31"/>
        <v>0</v>
      </c>
      <c r="AU47" s="50">
        <f t="shared" si="31"/>
        <v>0</v>
      </c>
      <c r="AV47" s="51">
        <f t="shared" si="40"/>
        <v>6</v>
      </c>
    </row>
    <row r="48" spans="1:48" x14ac:dyDescent="0.25">
      <c r="A48" s="11" t="s">
        <v>43</v>
      </c>
      <c r="B48" s="50">
        <v>1</v>
      </c>
      <c r="C48" s="51"/>
      <c r="D48" s="51"/>
      <c r="E48" s="51"/>
      <c r="F48" s="51">
        <f t="shared" si="32"/>
        <v>1</v>
      </c>
      <c r="H48" s="50">
        <v>1</v>
      </c>
      <c r="I48" s="51"/>
      <c r="J48" s="51"/>
      <c r="K48" s="51"/>
      <c r="L48" s="51">
        <f t="shared" si="33"/>
        <v>1</v>
      </c>
      <c r="N48" s="50">
        <v>3</v>
      </c>
      <c r="O48" s="51"/>
      <c r="P48" s="51"/>
      <c r="Q48" s="51"/>
      <c r="R48" s="51">
        <f t="shared" si="34"/>
        <v>3</v>
      </c>
      <c r="T48" s="50"/>
      <c r="U48" s="51"/>
      <c r="V48" s="51"/>
      <c r="W48" s="51"/>
      <c r="X48" s="51">
        <f t="shared" si="35"/>
        <v>0</v>
      </c>
      <c r="Y48" s="193"/>
      <c r="Z48" s="50">
        <v>1</v>
      </c>
      <c r="AA48" s="51"/>
      <c r="AB48" s="51"/>
      <c r="AC48" s="51"/>
      <c r="AD48" s="51">
        <f t="shared" si="36"/>
        <v>1</v>
      </c>
      <c r="AE48" s="193"/>
      <c r="AF48" s="50">
        <v>1</v>
      </c>
      <c r="AG48" s="51"/>
      <c r="AH48" s="51"/>
      <c r="AI48" s="51"/>
      <c r="AJ48" s="51">
        <f t="shared" si="37"/>
        <v>1</v>
      </c>
      <c r="AL48" s="50"/>
      <c r="AM48" s="51"/>
      <c r="AN48" s="51"/>
      <c r="AO48" s="51"/>
      <c r="AP48" s="51">
        <f t="shared" si="38"/>
        <v>0</v>
      </c>
      <c r="AR48" s="50">
        <f t="shared" si="39"/>
        <v>7</v>
      </c>
      <c r="AS48" s="50">
        <f t="shared" si="31"/>
        <v>0</v>
      </c>
      <c r="AT48" s="50">
        <f t="shared" si="31"/>
        <v>0</v>
      </c>
      <c r="AU48" s="50">
        <f t="shared" si="31"/>
        <v>0</v>
      </c>
      <c r="AV48" s="51">
        <f t="shared" si="40"/>
        <v>7</v>
      </c>
    </row>
    <row r="49" spans="1:48" x14ac:dyDescent="0.25">
      <c r="A49" s="11" t="s">
        <v>44</v>
      </c>
      <c r="B49" s="50">
        <v>2</v>
      </c>
      <c r="C49" s="51"/>
      <c r="D49" s="51"/>
      <c r="E49" s="51"/>
      <c r="F49" s="51">
        <f t="shared" si="32"/>
        <v>2</v>
      </c>
      <c r="H49" s="50">
        <v>2</v>
      </c>
      <c r="I49" s="51"/>
      <c r="J49" s="51"/>
      <c r="K49" s="51"/>
      <c r="L49" s="51">
        <f t="shared" si="33"/>
        <v>2</v>
      </c>
      <c r="N49" s="50">
        <v>4</v>
      </c>
      <c r="O49" s="51"/>
      <c r="P49" s="51"/>
      <c r="Q49" s="51"/>
      <c r="R49" s="51">
        <f t="shared" si="34"/>
        <v>4</v>
      </c>
      <c r="T49" s="50">
        <v>1</v>
      </c>
      <c r="U49" s="51"/>
      <c r="V49" s="51"/>
      <c r="W49" s="51"/>
      <c r="X49" s="51">
        <f t="shared" si="35"/>
        <v>1</v>
      </c>
      <c r="Y49" s="193"/>
      <c r="Z49" s="50">
        <v>1</v>
      </c>
      <c r="AA49" s="51"/>
      <c r="AB49" s="51"/>
      <c r="AC49" s="51"/>
      <c r="AD49" s="51">
        <f t="shared" si="36"/>
        <v>1</v>
      </c>
      <c r="AE49" s="193"/>
      <c r="AF49" s="50">
        <v>1</v>
      </c>
      <c r="AG49" s="51"/>
      <c r="AH49" s="51"/>
      <c r="AI49" s="51"/>
      <c r="AJ49" s="51">
        <f t="shared" si="37"/>
        <v>1</v>
      </c>
      <c r="AL49" s="50"/>
      <c r="AM49" s="51"/>
      <c r="AN49" s="51"/>
      <c r="AO49" s="51"/>
      <c r="AP49" s="51">
        <f t="shared" si="38"/>
        <v>0</v>
      </c>
      <c r="AR49" s="50">
        <f t="shared" si="39"/>
        <v>11</v>
      </c>
      <c r="AS49" s="50">
        <f t="shared" si="31"/>
        <v>0</v>
      </c>
      <c r="AT49" s="50">
        <f t="shared" si="31"/>
        <v>0</v>
      </c>
      <c r="AU49" s="50">
        <f t="shared" si="31"/>
        <v>0</v>
      </c>
      <c r="AV49" s="51">
        <f t="shared" si="40"/>
        <v>11</v>
      </c>
    </row>
    <row r="50" spans="1:48" x14ac:dyDescent="0.25">
      <c r="A50" s="11" t="s">
        <v>45</v>
      </c>
      <c r="B50" s="222">
        <v>9</v>
      </c>
      <c r="C50" s="51">
        <v>5</v>
      </c>
      <c r="D50" s="51"/>
      <c r="E50" s="51"/>
      <c r="F50" s="51">
        <f t="shared" si="32"/>
        <v>14</v>
      </c>
      <c r="H50" s="222">
        <v>9</v>
      </c>
      <c r="I50" s="51">
        <v>5.5</v>
      </c>
      <c r="J50" s="51"/>
      <c r="K50" s="51"/>
      <c r="L50" s="51">
        <f t="shared" si="33"/>
        <v>14.5</v>
      </c>
      <c r="N50" s="222">
        <v>11</v>
      </c>
      <c r="O50" s="51">
        <v>14</v>
      </c>
      <c r="P50" s="51"/>
      <c r="Q50" s="51"/>
      <c r="R50" s="51">
        <f t="shared" si="34"/>
        <v>25</v>
      </c>
      <c r="T50" s="51">
        <v>3.5</v>
      </c>
      <c r="U50" s="51">
        <v>3</v>
      </c>
      <c r="V50" s="51"/>
      <c r="W50" s="51"/>
      <c r="X50" s="51">
        <f t="shared" si="35"/>
        <v>6.5</v>
      </c>
      <c r="Y50" s="193"/>
      <c r="Z50" s="210">
        <v>1.5</v>
      </c>
      <c r="AA50" s="210">
        <v>3</v>
      </c>
      <c r="AB50" s="51">
        <v>0</v>
      </c>
      <c r="AC50" s="51"/>
      <c r="AD50" s="51">
        <f t="shared" si="36"/>
        <v>4.5</v>
      </c>
      <c r="AE50" s="193"/>
      <c r="AF50" s="51">
        <v>1</v>
      </c>
      <c r="AG50" s="51">
        <v>4</v>
      </c>
      <c r="AH50" s="51">
        <v>2</v>
      </c>
      <c r="AI50" s="51"/>
      <c r="AJ50" s="51">
        <f t="shared" si="37"/>
        <v>7</v>
      </c>
      <c r="AL50" s="51">
        <v>2</v>
      </c>
      <c r="AM50" s="51"/>
      <c r="AN50" s="51"/>
      <c r="AO50" s="51">
        <v>20</v>
      </c>
      <c r="AP50" s="51">
        <f t="shared" si="38"/>
        <v>22</v>
      </c>
      <c r="AR50" s="50">
        <f t="shared" si="39"/>
        <v>37</v>
      </c>
      <c r="AS50" s="50">
        <f t="shared" si="31"/>
        <v>34.5</v>
      </c>
      <c r="AT50" s="50">
        <f t="shared" si="31"/>
        <v>2</v>
      </c>
      <c r="AU50" s="50">
        <f t="shared" si="31"/>
        <v>20</v>
      </c>
      <c r="AV50" s="51">
        <f t="shared" si="40"/>
        <v>93.5</v>
      </c>
    </row>
    <row r="51" spans="1:48" x14ac:dyDescent="0.25">
      <c r="A51" s="11" t="s">
        <v>46</v>
      </c>
      <c r="B51" s="51">
        <v>4</v>
      </c>
      <c r="C51" s="51"/>
      <c r="D51" s="51"/>
      <c r="E51" s="51"/>
      <c r="F51" s="51">
        <f t="shared" si="32"/>
        <v>4</v>
      </c>
      <c r="H51" s="51">
        <v>3</v>
      </c>
      <c r="I51" s="51"/>
      <c r="J51" s="51"/>
      <c r="K51" s="51"/>
      <c r="L51" s="51">
        <f t="shared" si="33"/>
        <v>3</v>
      </c>
      <c r="N51" s="51">
        <v>12</v>
      </c>
      <c r="O51" s="51"/>
      <c r="P51" s="51"/>
      <c r="Q51" s="51"/>
      <c r="R51" s="51">
        <f t="shared" si="34"/>
        <v>12</v>
      </c>
      <c r="T51" s="210">
        <v>2</v>
      </c>
      <c r="U51" s="51"/>
      <c r="V51" s="51"/>
      <c r="W51" s="51"/>
      <c r="X51" s="51">
        <f t="shared" si="35"/>
        <v>2</v>
      </c>
      <c r="Y51" s="193"/>
      <c r="Z51" s="210">
        <v>2</v>
      </c>
      <c r="AA51" s="51"/>
      <c r="AB51" s="51"/>
      <c r="AC51" s="51"/>
      <c r="AD51" s="51">
        <f t="shared" si="36"/>
        <v>2</v>
      </c>
      <c r="AE51" s="193"/>
      <c r="AF51" s="51">
        <v>2</v>
      </c>
      <c r="AG51" s="51"/>
      <c r="AH51" s="51"/>
      <c r="AI51" s="51"/>
      <c r="AJ51" s="51">
        <f t="shared" si="37"/>
        <v>2</v>
      </c>
      <c r="AL51" s="51">
        <v>1</v>
      </c>
      <c r="AM51" s="51"/>
      <c r="AN51" s="51"/>
      <c r="AO51" s="51"/>
      <c r="AP51" s="51">
        <f t="shared" si="38"/>
        <v>1</v>
      </c>
      <c r="AR51" s="50">
        <f t="shared" si="39"/>
        <v>26</v>
      </c>
      <c r="AS51" s="50">
        <f t="shared" si="31"/>
        <v>0</v>
      </c>
      <c r="AT51" s="50">
        <f t="shared" si="31"/>
        <v>0</v>
      </c>
      <c r="AU51" s="50">
        <f t="shared" si="31"/>
        <v>0</v>
      </c>
      <c r="AV51" s="51">
        <f t="shared" si="40"/>
        <v>26</v>
      </c>
    </row>
    <row r="52" spans="1:48" x14ac:dyDescent="0.25">
      <c r="A52" s="11" t="s">
        <v>47</v>
      </c>
      <c r="B52" s="51"/>
      <c r="C52" s="51"/>
      <c r="D52" s="51">
        <v>3</v>
      </c>
      <c r="E52" s="51"/>
      <c r="F52" s="51">
        <f t="shared" si="32"/>
        <v>3</v>
      </c>
      <c r="H52" s="51"/>
      <c r="I52" s="51"/>
      <c r="J52" s="51">
        <v>3</v>
      </c>
      <c r="K52" s="51"/>
      <c r="L52" s="51">
        <f t="shared" si="33"/>
        <v>3</v>
      </c>
      <c r="N52" s="51"/>
      <c r="O52" s="51"/>
      <c r="P52" s="51">
        <v>9</v>
      </c>
      <c r="Q52" s="51"/>
      <c r="R52" s="51">
        <f t="shared" si="34"/>
        <v>9</v>
      </c>
      <c r="T52" s="51"/>
      <c r="U52" s="51"/>
      <c r="V52" s="51"/>
      <c r="W52" s="51"/>
      <c r="X52" s="51">
        <f t="shared" si="35"/>
        <v>0</v>
      </c>
      <c r="Y52" s="193"/>
      <c r="Z52" s="51"/>
      <c r="AA52" s="51"/>
      <c r="AB52" s="51">
        <v>1</v>
      </c>
      <c r="AC52" s="51"/>
      <c r="AD52" s="51">
        <f t="shared" si="36"/>
        <v>1</v>
      </c>
      <c r="AE52" s="193"/>
      <c r="AF52" s="51"/>
      <c r="AG52" s="51"/>
      <c r="AH52" s="51"/>
      <c r="AI52" s="51"/>
      <c r="AJ52" s="51">
        <f t="shared" si="37"/>
        <v>0</v>
      </c>
      <c r="AL52" s="51"/>
      <c r="AM52" s="51"/>
      <c r="AN52" s="51">
        <v>1</v>
      </c>
      <c r="AO52" s="51"/>
      <c r="AP52" s="51">
        <f t="shared" si="38"/>
        <v>1</v>
      </c>
      <c r="AR52" s="50">
        <f t="shared" si="39"/>
        <v>0</v>
      </c>
      <c r="AS52" s="50">
        <f t="shared" si="31"/>
        <v>0</v>
      </c>
      <c r="AT52" s="50">
        <f t="shared" si="31"/>
        <v>17</v>
      </c>
      <c r="AU52" s="50">
        <f t="shared" si="31"/>
        <v>0</v>
      </c>
      <c r="AV52" s="51">
        <f t="shared" si="40"/>
        <v>17</v>
      </c>
    </row>
    <row r="53" spans="1:48" x14ac:dyDescent="0.25">
      <c r="A53" s="11" t="s">
        <v>48</v>
      </c>
      <c r="B53" s="51"/>
      <c r="C53" s="51"/>
      <c r="D53" s="51"/>
      <c r="E53" s="51"/>
      <c r="F53" s="51">
        <f t="shared" si="32"/>
        <v>0</v>
      </c>
      <c r="H53" s="51"/>
      <c r="I53" s="51"/>
      <c r="J53" s="51"/>
      <c r="K53" s="51"/>
      <c r="L53" s="51">
        <f t="shared" si="33"/>
        <v>0</v>
      </c>
      <c r="N53" s="51"/>
      <c r="O53" s="51"/>
      <c r="P53" s="51"/>
      <c r="Q53" s="51"/>
      <c r="R53" s="51">
        <f t="shared" si="34"/>
        <v>0</v>
      </c>
      <c r="T53" s="51"/>
      <c r="U53" s="51"/>
      <c r="V53" s="51"/>
      <c r="W53" s="51"/>
      <c r="X53" s="51">
        <f t="shared" si="35"/>
        <v>0</v>
      </c>
      <c r="Y53" s="193"/>
      <c r="Z53" s="51"/>
      <c r="AA53" s="51"/>
      <c r="AB53" s="51"/>
      <c r="AC53" s="51"/>
      <c r="AD53" s="51">
        <f t="shared" si="36"/>
        <v>0</v>
      </c>
      <c r="AE53" s="193"/>
      <c r="AF53" s="51"/>
      <c r="AG53" s="51"/>
      <c r="AH53" s="51"/>
      <c r="AI53" s="51"/>
      <c r="AJ53" s="51">
        <f t="shared" si="37"/>
        <v>0</v>
      </c>
      <c r="AL53" s="51"/>
      <c r="AM53" s="51"/>
      <c r="AN53" s="51"/>
      <c r="AO53" s="51"/>
      <c r="AP53" s="51">
        <f t="shared" si="38"/>
        <v>0</v>
      </c>
      <c r="AR53" s="50">
        <f t="shared" si="39"/>
        <v>0</v>
      </c>
      <c r="AS53" s="50">
        <f t="shared" si="31"/>
        <v>0</v>
      </c>
      <c r="AT53" s="50">
        <f t="shared" si="31"/>
        <v>0</v>
      </c>
      <c r="AU53" s="50">
        <f t="shared" si="31"/>
        <v>0</v>
      </c>
      <c r="AV53" s="51">
        <f t="shared" si="40"/>
        <v>0</v>
      </c>
    </row>
    <row r="54" spans="1:48" x14ac:dyDescent="0.25">
      <c r="A54" s="14" t="s">
        <v>49</v>
      </c>
      <c r="B54" s="51">
        <v>0.5</v>
      </c>
      <c r="C54" s="51">
        <v>1</v>
      </c>
      <c r="D54" s="51"/>
      <c r="E54" s="51"/>
      <c r="F54" s="51">
        <f t="shared" si="32"/>
        <v>1.5</v>
      </c>
      <c r="H54" s="51"/>
      <c r="I54" s="51">
        <v>1</v>
      </c>
      <c r="J54" s="51"/>
      <c r="K54" s="51"/>
      <c r="L54" s="51">
        <f t="shared" si="33"/>
        <v>1</v>
      </c>
      <c r="N54" s="51"/>
      <c r="O54" s="51">
        <v>1</v>
      </c>
      <c r="P54" s="51"/>
      <c r="Q54" s="51"/>
      <c r="R54" s="51">
        <f t="shared" si="34"/>
        <v>1</v>
      </c>
      <c r="T54" s="51"/>
      <c r="U54" s="51"/>
      <c r="V54" s="51"/>
      <c r="W54" s="51"/>
      <c r="X54" s="51">
        <f t="shared" si="35"/>
        <v>0</v>
      </c>
      <c r="Y54" s="193"/>
      <c r="Z54" s="51"/>
      <c r="AA54" s="51"/>
      <c r="AB54" s="51"/>
      <c r="AC54" s="51"/>
      <c r="AD54" s="51">
        <f t="shared" si="36"/>
        <v>0</v>
      </c>
      <c r="AE54" s="193"/>
      <c r="AF54" s="51"/>
      <c r="AG54" s="51"/>
      <c r="AH54" s="51"/>
      <c r="AI54" s="51"/>
      <c r="AJ54" s="51">
        <f t="shared" si="37"/>
        <v>0</v>
      </c>
      <c r="AL54" s="51"/>
      <c r="AM54" s="51"/>
      <c r="AN54" s="51"/>
      <c r="AO54" s="51"/>
      <c r="AP54" s="51">
        <f t="shared" si="38"/>
        <v>0</v>
      </c>
      <c r="AR54" s="50">
        <f t="shared" si="39"/>
        <v>0.5</v>
      </c>
      <c r="AS54" s="50">
        <f t="shared" si="31"/>
        <v>3</v>
      </c>
      <c r="AT54" s="50">
        <f t="shared" si="31"/>
        <v>0</v>
      </c>
      <c r="AU54" s="50">
        <f t="shared" si="31"/>
        <v>0</v>
      </c>
      <c r="AV54" s="51">
        <f t="shared" si="40"/>
        <v>3.5</v>
      </c>
    </row>
    <row r="55" spans="1:48" x14ac:dyDescent="0.25">
      <c r="A55" s="14" t="s">
        <v>50</v>
      </c>
      <c r="B55" s="51"/>
      <c r="C55" s="51">
        <v>1</v>
      </c>
      <c r="D55" s="51"/>
      <c r="E55" s="51"/>
      <c r="F55" s="51">
        <f t="shared" si="32"/>
        <v>1</v>
      </c>
      <c r="H55" s="51"/>
      <c r="I55" s="51">
        <v>1</v>
      </c>
      <c r="J55" s="51"/>
      <c r="K55" s="51"/>
      <c r="L55" s="51">
        <f t="shared" si="33"/>
        <v>1</v>
      </c>
      <c r="N55" s="51"/>
      <c r="O55" s="51">
        <v>1</v>
      </c>
      <c r="P55" s="51"/>
      <c r="Q55" s="51"/>
      <c r="R55" s="51">
        <f t="shared" si="34"/>
        <v>1</v>
      </c>
      <c r="T55" s="51"/>
      <c r="U55" s="51"/>
      <c r="V55" s="51"/>
      <c r="W55" s="51"/>
      <c r="X55" s="51">
        <f t="shared" si="35"/>
        <v>0</v>
      </c>
      <c r="Y55" s="193"/>
      <c r="Z55" s="51"/>
      <c r="AA55" s="51"/>
      <c r="AB55" s="51"/>
      <c r="AC55" s="51"/>
      <c r="AD55" s="51">
        <f t="shared" si="36"/>
        <v>0</v>
      </c>
      <c r="AE55" s="193"/>
      <c r="AF55" s="51"/>
      <c r="AG55" s="51"/>
      <c r="AH55" s="51"/>
      <c r="AI55" s="51"/>
      <c r="AJ55" s="51">
        <f t="shared" si="37"/>
        <v>0</v>
      </c>
      <c r="AL55" s="51"/>
      <c r="AM55" s="51"/>
      <c r="AN55" s="51"/>
      <c r="AO55" s="51"/>
      <c r="AP55" s="51">
        <f t="shared" si="38"/>
        <v>0</v>
      </c>
      <c r="AR55" s="50">
        <f t="shared" si="39"/>
        <v>0</v>
      </c>
      <c r="AS55" s="50">
        <f t="shared" si="39"/>
        <v>3</v>
      </c>
      <c r="AT55" s="50">
        <f t="shared" si="39"/>
        <v>0</v>
      </c>
      <c r="AU55" s="50">
        <f t="shared" si="39"/>
        <v>0</v>
      </c>
      <c r="AV55" s="51">
        <f t="shared" si="40"/>
        <v>3</v>
      </c>
    </row>
    <row r="56" spans="1:48" x14ac:dyDescent="0.25">
      <c r="A56" s="14" t="s">
        <v>51</v>
      </c>
      <c r="B56" s="51"/>
      <c r="C56" s="51">
        <v>0.5</v>
      </c>
      <c r="D56" s="51"/>
      <c r="E56" s="51"/>
      <c r="F56" s="51">
        <f t="shared" si="32"/>
        <v>0.5</v>
      </c>
      <c r="H56" s="51"/>
      <c r="I56" s="51">
        <v>0.5</v>
      </c>
      <c r="J56" s="51"/>
      <c r="K56" s="51"/>
      <c r="L56" s="51">
        <f t="shared" si="33"/>
        <v>0.5</v>
      </c>
      <c r="N56" s="51"/>
      <c r="O56" s="51">
        <v>1</v>
      </c>
      <c r="P56" s="51"/>
      <c r="Q56" s="51"/>
      <c r="R56" s="51">
        <f t="shared" si="34"/>
        <v>1</v>
      </c>
      <c r="T56" s="51"/>
      <c r="U56" s="51"/>
      <c r="V56" s="51"/>
      <c r="W56" s="51"/>
      <c r="X56" s="51">
        <f t="shared" si="35"/>
        <v>0</v>
      </c>
      <c r="Y56" s="193"/>
      <c r="Z56" s="51"/>
      <c r="AA56" s="51"/>
      <c r="AB56" s="51"/>
      <c r="AC56" s="51"/>
      <c r="AD56" s="51">
        <f t="shared" si="36"/>
        <v>0</v>
      </c>
      <c r="AE56" s="193"/>
      <c r="AF56" s="51"/>
      <c r="AG56" s="51"/>
      <c r="AH56" s="51"/>
      <c r="AI56" s="51"/>
      <c r="AJ56" s="51">
        <f t="shared" si="37"/>
        <v>0</v>
      </c>
      <c r="AL56" s="51"/>
      <c r="AM56" s="51">
        <v>2</v>
      </c>
      <c r="AN56" s="51"/>
      <c r="AO56" s="51"/>
      <c r="AP56" s="51">
        <f t="shared" si="38"/>
        <v>2</v>
      </c>
      <c r="AR56" s="50">
        <f t="shared" si="39"/>
        <v>0</v>
      </c>
      <c r="AS56" s="50">
        <f t="shared" si="39"/>
        <v>4</v>
      </c>
      <c r="AT56" s="50">
        <f t="shared" si="39"/>
        <v>0</v>
      </c>
      <c r="AU56" s="50">
        <f t="shared" si="39"/>
        <v>0</v>
      </c>
      <c r="AV56" s="51">
        <f t="shared" si="40"/>
        <v>4</v>
      </c>
    </row>
    <row r="57" spans="1:48" x14ac:dyDescent="0.25">
      <c r="A57" s="14" t="s">
        <v>52</v>
      </c>
      <c r="B57" s="51"/>
      <c r="C57" s="51"/>
      <c r="D57" s="51"/>
      <c r="E57" s="51"/>
      <c r="F57" s="51">
        <f t="shared" si="32"/>
        <v>0</v>
      </c>
      <c r="H57" s="51"/>
      <c r="I57" s="51"/>
      <c r="J57" s="51"/>
      <c r="K57" s="51"/>
      <c r="L57" s="51">
        <f t="shared" si="33"/>
        <v>0</v>
      </c>
      <c r="N57" s="51"/>
      <c r="O57" s="51"/>
      <c r="P57" s="51"/>
      <c r="Q57" s="51"/>
      <c r="R57" s="51">
        <f t="shared" si="34"/>
        <v>0</v>
      </c>
      <c r="T57" s="51"/>
      <c r="U57" s="51"/>
      <c r="V57" s="51"/>
      <c r="W57" s="51"/>
      <c r="X57" s="51">
        <f t="shared" si="35"/>
        <v>0</v>
      </c>
      <c r="Y57" s="193"/>
      <c r="Z57" s="51"/>
      <c r="AA57" s="51"/>
      <c r="AB57" s="51"/>
      <c r="AC57" s="51"/>
      <c r="AD57" s="51">
        <f t="shared" si="36"/>
        <v>0</v>
      </c>
      <c r="AE57" s="193"/>
      <c r="AF57" s="51"/>
      <c r="AG57" s="51"/>
      <c r="AH57" s="51"/>
      <c r="AI57" s="51"/>
      <c r="AJ57" s="51">
        <f t="shared" si="37"/>
        <v>0</v>
      </c>
      <c r="AL57" s="51"/>
      <c r="AM57" s="51"/>
      <c r="AN57" s="51"/>
      <c r="AO57" s="51"/>
      <c r="AP57" s="51">
        <f t="shared" si="38"/>
        <v>0</v>
      </c>
      <c r="AR57" s="50">
        <f t="shared" si="39"/>
        <v>0</v>
      </c>
      <c r="AS57" s="50">
        <f t="shared" si="39"/>
        <v>0</v>
      </c>
      <c r="AT57" s="50">
        <f t="shared" si="39"/>
        <v>0</v>
      </c>
      <c r="AU57" s="50">
        <f t="shared" si="39"/>
        <v>0</v>
      </c>
      <c r="AV57" s="51">
        <f t="shared" si="40"/>
        <v>0</v>
      </c>
    </row>
    <row r="58" spans="1:48" x14ac:dyDescent="0.25">
      <c r="A58" s="14" t="s">
        <v>53</v>
      </c>
      <c r="B58" s="51"/>
      <c r="C58" s="51"/>
      <c r="D58" s="51"/>
      <c r="E58" s="51"/>
      <c r="F58" s="51">
        <f t="shared" si="32"/>
        <v>0</v>
      </c>
      <c r="H58" s="51"/>
      <c r="I58" s="51"/>
      <c r="J58" s="51"/>
      <c r="K58" s="51"/>
      <c r="L58" s="51">
        <f t="shared" si="33"/>
        <v>0</v>
      </c>
      <c r="N58" s="51">
        <v>1</v>
      </c>
      <c r="O58" s="51"/>
      <c r="P58" s="51"/>
      <c r="Q58" s="51"/>
      <c r="R58" s="51">
        <f t="shared" si="34"/>
        <v>1</v>
      </c>
      <c r="T58" s="51"/>
      <c r="U58" s="51"/>
      <c r="V58" s="51"/>
      <c r="W58" s="51"/>
      <c r="X58" s="51">
        <f t="shared" si="35"/>
        <v>0</v>
      </c>
      <c r="Y58" s="193"/>
      <c r="Z58" s="51"/>
      <c r="AA58" s="51"/>
      <c r="AB58" s="51"/>
      <c r="AC58" s="51"/>
      <c r="AD58" s="51">
        <f t="shared" si="36"/>
        <v>0</v>
      </c>
      <c r="AE58" s="193"/>
      <c r="AF58" s="51"/>
      <c r="AG58" s="51"/>
      <c r="AH58" s="51"/>
      <c r="AI58" s="51"/>
      <c r="AJ58" s="51">
        <f t="shared" si="37"/>
        <v>0</v>
      </c>
      <c r="AL58" s="51"/>
      <c r="AM58" s="51"/>
      <c r="AN58" s="51"/>
      <c r="AO58" s="51"/>
      <c r="AP58" s="51">
        <f t="shared" si="38"/>
        <v>0</v>
      </c>
      <c r="AR58" s="50">
        <f t="shared" si="39"/>
        <v>1</v>
      </c>
      <c r="AS58" s="50">
        <f t="shared" si="39"/>
        <v>0</v>
      </c>
      <c r="AT58" s="50">
        <f t="shared" si="39"/>
        <v>0</v>
      </c>
      <c r="AU58" s="50">
        <f t="shared" si="39"/>
        <v>0</v>
      </c>
      <c r="AV58" s="51">
        <f t="shared" si="40"/>
        <v>1</v>
      </c>
    </row>
    <row r="59" spans="1:48" x14ac:dyDescent="0.25">
      <c r="A59" s="14" t="s">
        <v>54</v>
      </c>
      <c r="B59" s="51">
        <v>2</v>
      </c>
      <c r="C59" s="51"/>
      <c r="D59" s="51"/>
      <c r="E59" s="51"/>
      <c r="F59" s="51">
        <f t="shared" si="32"/>
        <v>2</v>
      </c>
      <c r="H59" s="51">
        <v>1</v>
      </c>
      <c r="I59" s="51"/>
      <c r="J59" s="51"/>
      <c r="K59" s="51"/>
      <c r="L59" s="51">
        <f t="shared" si="33"/>
        <v>1</v>
      </c>
      <c r="N59" s="51">
        <v>3</v>
      </c>
      <c r="O59" s="51"/>
      <c r="P59" s="51"/>
      <c r="Q59" s="51"/>
      <c r="R59" s="51">
        <f t="shared" si="34"/>
        <v>3</v>
      </c>
      <c r="T59" s="51"/>
      <c r="U59" s="51"/>
      <c r="V59" s="51"/>
      <c r="W59" s="51"/>
      <c r="X59" s="51">
        <f t="shared" si="35"/>
        <v>0</v>
      </c>
      <c r="Y59" s="193"/>
      <c r="Z59" s="51"/>
      <c r="AA59" s="51"/>
      <c r="AB59" s="51"/>
      <c r="AC59" s="51"/>
      <c r="AD59" s="51">
        <f t="shared" si="36"/>
        <v>0</v>
      </c>
      <c r="AE59" s="193"/>
      <c r="AF59" s="51"/>
      <c r="AG59" s="51"/>
      <c r="AH59" s="51"/>
      <c r="AI59" s="51"/>
      <c r="AJ59" s="51">
        <f t="shared" si="37"/>
        <v>0</v>
      </c>
      <c r="AL59" s="51"/>
      <c r="AM59" s="51"/>
      <c r="AN59" s="51"/>
      <c r="AO59" s="51"/>
      <c r="AP59" s="51">
        <f t="shared" si="38"/>
        <v>0</v>
      </c>
      <c r="AR59" s="50">
        <f t="shared" si="39"/>
        <v>6</v>
      </c>
      <c r="AS59" s="50">
        <f t="shared" si="39"/>
        <v>0</v>
      </c>
      <c r="AT59" s="50">
        <f t="shared" si="39"/>
        <v>0</v>
      </c>
      <c r="AU59" s="50">
        <f t="shared" si="39"/>
        <v>0</v>
      </c>
      <c r="AV59" s="51">
        <f t="shared" si="40"/>
        <v>6</v>
      </c>
    </row>
    <row r="60" spans="1:48" x14ac:dyDescent="0.25">
      <c r="A60" s="11" t="s">
        <v>55</v>
      </c>
      <c r="B60" s="50">
        <v>1</v>
      </c>
      <c r="C60" s="50"/>
      <c r="D60" s="50"/>
      <c r="E60" s="50"/>
      <c r="F60" s="51">
        <f t="shared" si="32"/>
        <v>1</v>
      </c>
      <c r="H60" s="50">
        <v>1</v>
      </c>
      <c r="I60" s="50"/>
      <c r="J60" s="50"/>
      <c r="K60" s="50"/>
      <c r="L60" s="51">
        <f t="shared" si="33"/>
        <v>1</v>
      </c>
      <c r="N60" s="50">
        <v>1</v>
      </c>
      <c r="O60" s="50"/>
      <c r="P60" s="50"/>
      <c r="Q60" s="50"/>
      <c r="R60" s="51">
        <f t="shared" si="34"/>
        <v>1</v>
      </c>
      <c r="T60" s="50"/>
      <c r="U60" s="50"/>
      <c r="V60" s="50"/>
      <c r="W60" s="50"/>
      <c r="X60" s="51">
        <f t="shared" si="35"/>
        <v>0</v>
      </c>
      <c r="Y60" s="193"/>
      <c r="Z60" s="50"/>
      <c r="AA60" s="50"/>
      <c r="AB60" s="50"/>
      <c r="AC60" s="50"/>
      <c r="AD60" s="51">
        <f t="shared" si="36"/>
        <v>0</v>
      </c>
      <c r="AE60" s="193"/>
      <c r="AF60" s="50"/>
      <c r="AG60" s="50"/>
      <c r="AH60" s="50"/>
      <c r="AI60" s="50"/>
      <c r="AJ60" s="51">
        <f t="shared" si="37"/>
        <v>0</v>
      </c>
      <c r="AL60" s="50"/>
      <c r="AM60" s="50"/>
      <c r="AN60" s="50"/>
      <c r="AO60" s="50"/>
      <c r="AP60" s="51">
        <f t="shared" si="38"/>
        <v>0</v>
      </c>
      <c r="AR60" s="50">
        <f t="shared" si="39"/>
        <v>3</v>
      </c>
      <c r="AS60" s="50">
        <f t="shared" si="39"/>
        <v>0</v>
      </c>
      <c r="AT60" s="50">
        <f t="shared" si="39"/>
        <v>0</v>
      </c>
      <c r="AU60" s="50">
        <f t="shared" si="39"/>
        <v>0</v>
      </c>
      <c r="AV60" s="51">
        <f t="shared" si="40"/>
        <v>3</v>
      </c>
    </row>
    <row r="61" spans="1:48" x14ac:dyDescent="0.25">
      <c r="A61" s="9" t="s">
        <v>56</v>
      </c>
      <c r="B61" s="52">
        <f t="shared" ref="B61:F61" si="41">SUM(B39:B60)</f>
        <v>33.5</v>
      </c>
      <c r="C61" s="52">
        <f t="shared" si="41"/>
        <v>7.5</v>
      </c>
      <c r="D61" s="52">
        <f t="shared" si="41"/>
        <v>3</v>
      </c>
      <c r="E61" s="52">
        <f t="shared" si="41"/>
        <v>0</v>
      </c>
      <c r="F61" s="52">
        <f t="shared" si="41"/>
        <v>44</v>
      </c>
      <c r="H61" s="52">
        <f t="shared" ref="H61:L61" si="42">SUM(H39:H60)</f>
        <v>30.5</v>
      </c>
      <c r="I61" s="52">
        <f t="shared" si="42"/>
        <v>8</v>
      </c>
      <c r="J61" s="52">
        <f t="shared" si="42"/>
        <v>3</v>
      </c>
      <c r="K61" s="52">
        <f t="shared" si="42"/>
        <v>0</v>
      </c>
      <c r="L61" s="52">
        <f t="shared" si="42"/>
        <v>41.5</v>
      </c>
      <c r="N61" s="52">
        <f t="shared" ref="N61:R61" si="43">SUM(N39:N60)</f>
        <v>56</v>
      </c>
      <c r="O61" s="52">
        <f t="shared" si="43"/>
        <v>17</v>
      </c>
      <c r="P61" s="52">
        <f t="shared" si="43"/>
        <v>9</v>
      </c>
      <c r="Q61" s="52">
        <f t="shared" si="43"/>
        <v>0</v>
      </c>
      <c r="R61" s="52">
        <f t="shared" si="43"/>
        <v>82</v>
      </c>
      <c r="T61" s="52">
        <f t="shared" ref="T61:X61" si="44">SUM(T39:T60)</f>
        <v>9.5</v>
      </c>
      <c r="U61" s="52">
        <f t="shared" si="44"/>
        <v>3</v>
      </c>
      <c r="V61" s="52">
        <f t="shared" si="44"/>
        <v>0</v>
      </c>
      <c r="W61" s="52">
        <f t="shared" si="44"/>
        <v>0</v>
      </c>
      <c r="X61" s="52">
        <f t="shared" si="44"/>
        <v>12.5</v>
      </c>
      <c r="Y61" s="197"/>
      <c r="Z61" s="52">
        <f t="shared" ref="Z61:AD61" si="45">SUM(Z39:Z60)</f>
        <v>10.5</v>
      </c>
      <c r="AA61" s="52">
        <f t="shared" si="45"/>
        <v>3</v>
      </c>
      <c r="AB61" s="52">
        <f t="shared" si="45"/>
        <v>1</v>
      </c>
      <c r="AC61" s="52">
        <f t="shared" si="45"/>
        <v>0</v>
      </c>
      <c r="AD61" s="52">
        <f t="shared" si="45"/>
        <v>14.5</v>
      </c>
      <c r="AE61" s="197"/>
      <c r="AF61" s="52">
        <f t="shared" ref="AF61:AJ61" si="46">SUM(AF39:AF60)</f>
        <v>10</v>
      </c>
      <c r="AG61" s="52">
        <f t="shared" si="46"/>
        <v>4</v>
      </c>
      <c r="AH61" s="52">
        <f t="shared" si="46"/>
        <v>2</v>
      </c>
      <c r="AI61" s="52">
        <f t="shared" si="46"/>
        <v>0</v>
      </c>
      <c r="AJ61" s="52">
        <f t="shared" si="46"/>
        <v>16</v>
      </c>
      <c r="AL61" s="52">
        <f t="shared" ref="AL61:AP61" si="47">SUM(AL39:AL60)</f>
        <v>5</v>
      </c>
      <c r="AM61" s="52">
        <f t="shared" si="47"/>
        <v>3</v>
      </c>
      <c r="AN61" s="52">
        <f t="shared" si="47"/>
        <v>1</v>
      </c>
      <c r="AO61" s="52">
        <f t="shared" si="47"/>
        <v>27</v>
      </c>
      <c r="AP61" s="52">
        <f t="shared" si="47"/>
        <v>36</v>
      </c>
      <c r="AR61" s="52">
        <f t="shared" ref="AR61:AV61" si="48">SUM(AR39:AR60)</f>
        <v>155</v>
      </c>
      <c r="AS61" s="52">
        <f t="shared" si="48"/>
        <v>45.5</v>
      </c>
      <c r="AT61" s="52">
        <f t="shared" si="48"/>
        <v>19</v>
      </c>
      <c r="AU61" s="52">
        <f t="shared" si="48"/>
        <v>27</v>
      </c>
      <c r="AV61" s="52">
        <f t="shared" si="48"/>
        <v>246.5</v>
      </c>
    </row>
    <row r="62" spans="1:48" ht="16.5" thickBot="1" x14ac:dyDescent="0.3">
      <c r="A62" s="15"/>
      <c r="B62" s="53"/>
      <c r="C62" s="53"/>
      <c r="D62" s="53"/>
      <c r="E62" s="53"/>
      <c r="F62" s="53"/>
      <c r="H62" s="53"/>
      <c r="I62" s="53"/>
      <c r="J62" s="53"/>
      <c r="K62" s="53"/>
      <c r="L62" s="53"/>
      <c r="N62" s="53"/>
      <c r="O62" s="53"/>
      <c r="P62" s="53"/>
      <c r="Q62" s="53"/>
      <c r="R62" s="53"/>
      <c r="T62" s="53"/>
      <c r="U62" s="53"/>
      <c r="V62" s="53"/>
      <c r="W62" s="53"/>
      <c r="X62" s="53"/>
      <c r="Y62" s="196"/>
      <c r="Z62" s="53"/>
      <c r="AA62" s="53"/>
      <c r="AB62" s="53"/>
      <c r="AC62" s="53"/>
      <c r="AD62" s="53"/>
      <c r="AE62" s="196"/>
      <c r="AF62" s="53"/>
      <c r="AG62" s="53"/>
      <c r="AH62" s="53"/>
      <c r="AI62" s="53"/>
      <c r="AJ62" s="53"/>
      <c r="AL62" s="53"/>
      <c r="AM62" s="53"/>
      <c r="AN62" s="53"/>
      <c r="AO62" s="53"/>
      <c r="AP62" s="53"/>
      <c r="AR62" s="53"/>
      <c r="AS62" s="53"/>
      <c r="AT62" s="53"/>
      <c r="AU62" s="53"/>
      <c r="AV62" s="53"/>
    </row>
    <row r="63" spans="1:48" x14ac:dyDescent="0.25">
      <c r="A63" s="16" t="s">
        <v>57</v>
      </c>
      <c r="B63" s="54">
        <f>B36+B41+B43+B50</f>
        <v>57</v>
      </c>
      <c r="C63" s="54">
        <f t="shared" ref="C63:F63" si="49">C36+C41+C43+C50</f>
        <v>10</v>
      </c>
      <c r="D63" s="54">
        <f t="shared" si="49"/>
        <v>0</v>
      </c>
      <c r="E63" s="54">
        <f t="shared" si="49"/>
        <v>0</v>
      </c>
      <c r="F63" s="54">
        <f t="shared" si="49"/>
        <v>67</v>
      </c>
      <c r="H63" s="54">
        <f>H36+H41+H43+H50</f>
        <v>56.5</v>
      </c>
      <c r="I63" s="54">
        <f t="shared" ref="I63:L63" si="50">I36+I41+I43+I50</f>
        <v>9.5</v>
      </c>
      <c r="J63" s="54">
        <f t="shared" si="50"/>
        <v>0</v>
      </c>
      <c r="K63" s="54">
        <f t="shared" si="50"/>
        <v>0</v>
      </c>
      <c r="L63" s="54">
        <f t="shared" si="50"/>
        <v>66</v>
      </c>
      <c r="N63" s="54">
        <f>N36+N41+N43+N50</f>
        <v>117</v>
      </c>
      <c r="O63" s="54">
        <f t="shared" ref="O63:R63" si="51">O36+O41+O43+O50</f>
        <v>28</v>
      </c>
      <c r="P63" s="54">
        <f t="shared" si="51"/>
        <v>0</v>
      </c>
      <c r="Q63" s="54">
        <f t="shared" si="51"/>
        <v>0</v>
      </c>
      <c r="R63" s="54">
        <f t="shared" si="51"/>
        <v>145</v>
      </c>
      <c r="T63" s="54">
        <f>T36+T41+T43+T50</f>
        <v>27.5</v>
      </c>
      <c r="U63" s="54">
        <f t="shared" ref="U63:X63" si="52">U36+U41+U43+U50</f>
        <v>6</v>
      </c>
      <c r="V63" s="54">
        <f t="shared" si="52"/>
        <v>0</v>
      </c>
      <c r="W63" s="54">
        <f t="shared" si="52"/>
        <v>0</v>
      </c>
      <c r="X63" s="54">
        <f t="shared" si="52"/>
        <v>33.5</v>
      </c>
      <c r="Y63" s="197"/>
      <c r="Z63" s="54">
        <f>Z36+Z41+Z43+Z50</f>
        <v>28</v>
      </c>
      <c r="AA63" s="54">
        <f t="shared" ref="AA63:AD63" si="53">AA36+AA41+AA43+AA50</f>
        <v>6</v>
      </c>
      <c r="AB63" s="54">
        <f t="shared" si="53"/>
        <v>0</v>
      </c>
      <c r="AC63" s="54">
        <f t="shared" si="53"/>
        <v>0</v>
      </c>
      <c r="AD63" s="54">
        <f t="shared" si="53"/>
        <v>34</v>
      </c>
      <c r="AE63" s="197"/>
      <c r="AF63" s="54">
        <f>AF36+AF41+AF43+AF50</f>
        <v>34</v>
      </c>
      <c r="AG63" s="54">
        <f t="shared" ref="AG63:AJ63" si="54">AG36+AG41+AG43+AG50</f>
        <v>8</v>
      </c>
      <c r="AH63" s="54">
        <f t="shared" si="54"/>
        <v>2</v>
      </c>
      <c r="AI63" s="54">
        <f t="shared" si="54"/>
        <v>0</v>
      </c>
      <c r="AJ63" s="54">
        <f t="shared" si="54"/>
        <v>44</v>
      </c>
      <c r="AL63" s="54">
        <f>AL36+AL41+AL43+AL50</f>
        <v>2</v>
      </c>
      <c r="AM63" s="54">
        <f t="shared" ref="AM63:AP63" si="55">AM36+AM41+AM43+AM50</f>
        <v>0</v>
      </c>
      <c r="AN63" s="54">
        <f t="shared" si="55"/>
        <v>0</v>
      </c>
      <c r="AO63" s="54">
        <f t="shared" si="55"/>
        <v>25</v>
      </c>
      <c r="AP63" s="54">
        <f t="shared" si="55"/>
        <v>27</v>
      </c>
      <c r="AR63" s="54">
        <f>AR36+AR41+AR43+AR50</f>
        <v>322</v>
      </c>
      <c r="AS63" s="54">
        <f t="shared" ref="AS63:AV63" si="56">AS36+AS41+AS43+AS50</f>
        <v>67.5</v>
      </c>
      <c r="AT63" s="54">
        <f t="shared" si="56"/>
        <v>2</v>
      </c>
      <c r="AU63" s="54">
        <f t="shared" si="56"/>
        <v>25</v>
      </c>
      <c r="AV63" s="54">
        <f t="shared" si="56"/>
        <v>416.5</v>
      </c>
    </row>
    <row r="64" spans="1:48" x14ac:dyDescent="0.25">
      <c r="A64" s="17" t="s">
        <v>58</v>
      </c>
      <c r="B64" s="55">
        <f>B61-B41-B43-B50</f>
        <v>21.5</v>
      </c>
      <c r="C64" s="55">
        <f>C61-C41-C43-C50</f>
        <v>2.5</v>
      </c>
      <c r="D64" s="55">
        <f t="shared" ref="D64:F64" si="57">D61-D41-D43-D50</f>
        <v>3</v>
      </c>
      <c r="E64" s="55">
        <f t="shared" si="57"/>
        <v>0</v>
      </c>
      <c r="F64" s="55">
        <f t="shared" si="57"/>
        <v>27</v>
      </c>
      <c r="H64" s="55">
        <f>H61-H41-H43-H50</f>
        <v>19</v>
      </c>
      <c r="I64" s="55">
        <f>I61-I41-I43-I50</f>
        <v>2.5</v>
      </c>
      <c r="J64" s="55">
        <f t="shared" ref="J64:L64" si="58">J61-J41-J43-J50</f>
        <v>3</v>
      </c>
      <c r="K64" s="55">
        <f t="shared" si="58"/>
        <v>0</v>
      </c>
      <c r="L64" s="55">
        <f t="shared" si="58"/>
        <v>24.5</v>
      </c>
      <c r="N64" s="55">
        <f>N61-N41-N43-N50</f>
        <v>40</v>
      </c>
      <c r="O64" s="55">
        <f>O61-O41-O43-O50</f>
        <v>3</v>
      </c>
      <c r="P64" s="55">
        <f t="shared" ref="P64:R64" si="59">P61-P41-P43-P50</f>
        <v>9</v>
      </c>
      <c r="Q64" s="55">
        <f t="shared" si="59"/>
        <v>0</v>
      </c>
      <c r="R64" s="55">
        <f t="shared" si="59"/>
        <v>52</v>
      </c>
      <c r="T64" s="55">
        <f>T61-T41-T43-T50</f>
        <v>5</v>
      </c>
      <c r="U64" s="55">
        <f>U61-U41-U43-U50</f>
        <v>0</v>
      </c>
      <c r="V64" s="55">
        <f t="shared" ref="V64:X64" si="60">V61-V41-V43-V50</f>
        <v>0</v>
      </c>
      <c r="W64" s="55">
        <f t="shared" si="60"/>
        <v>0</v>
      </c>
      <c r="X64" s="55">
        <f t="shared" si="60"/>
        <v>5</v>
      </c>
      <c r="Y64" s="197"/>
      <c r="Z64" s="55">
        <f>Z61-Z41-Z43-Z50</f>
        <v>8</v>
      </c>
      <c r="AA64" s="55">
        <f>AA61-AA41-AA43-AA50</f>
        <v>0</v>
      </c>
      <c r="AB64" s="55">
        <f t="shared" ref="AB64:AD64" si="61">AB61-AB41-AB43-AB50</f>
        <v>1</v>
      </c>
      <c r="AC64" s="55">
        <f t="shared" si="61"/>
        <v>0</v>
      </c>
      <c r="AD64" s="55">
        <f t="shared" si="61"/>
        <v>9</v>
      </c>
      <c r="AE64" s="197"/>
      <c r="AF64" s="55">
        <f>AF61-AF41-AF43-AF50</f>
        <v>8</v>
      </c>
      <c r="AG64" s="55">
        <f>AG61-AG41-AG43-AG50</f>
        <v>0</v>
      </c>
      <c r="AH64" s="55">
        <f t="shared" ref="AH64:AJ64" si="62">AH61-AH41-AH43-AH50</f>
        <v>0</v>
      </c>
      <c r="AI64" s="55">
        <f t="shared" si="62"/>
        <v>0</v>
      </c>
      <c r="AJ64" s="55">
        <f t="shared" si="62"/>
        <v>8</v>
      </c>
      <c r="AL64" s="55">
        <f>AL61-AL41-AL43-AL50</f>
        <v>3</v>
      </c>
      <c r="AM64" s="55">
        <f>AM61-AM41-AM43-AM50</f>
        <v>3</v>
      </c>
      <c r="AN64" s="55">
        <f t="shared" ref="AN64:AP64" si="63">AN61-AN41-AN43-AN50</f>
        <v>1</v>
      </c>
      <c r="AO64" s="55">
        <f t="shared" si="63"/>
        <v>2</v>
      </c>
      <c r="AP64" s="55">
        <f t="shared" si="63"/>
        <v>9</v>
      </c>
      <c r="AR64" s="55">
        <f>AR61-AR41-AR43-AR50</f>
        <v>104.5</v>
      </c>
      <c r="AS64" s="55">
        <f>AS61-AS41-AS43-AS50</f>
        <v>11</v>
      </c>
      <c r="AT64" s="55">
        <f t="shared" ref="AT64:AV64" si="64">AT61-AT41-AT43-AT50</f>
        <v>17</v>
      </c>
      <c r="AU64" s="55">
        <f t="shared" si="64"/>
        <v>2</v>
      </c>
      <c r="AV64" s="55">
        <f t="shared" si="64"/>
        <v>134.5</v>
      </c>
    </row>
    <row r="65" spans="1:48" ht="16.5" thickBot="1" x14ac:dyDescent="0.3">
      <c r="A65" s="18" t="s">
        <v>59</v>
      </c>
      <c r="B65" s="56">
        <f>SUM(B63:B64)</f>
        <v>78.5</v>
      </c>
      <c r="C65" s="56">
        <f t="shared" ref="C65:F65" si="65">SUM(C63:C64)</f>
        <v>12.5</v>
      </c>
      <c r="D65" s="56">
        <f t="shared" si="65"/>
        <v>3</v>
      </c>
      <c r="E65" s="56">
        <f t="shared" si="65"/>
        <v>0</v>
      </c>
      <c r="F65" s="56">
        <f t="shared" si="65"/>
        <v>94</v>
      </c>
      <c r="H65" s="56">
        <f>SUM(H63:H64)</f>
        <v>75.5</v>
      </c>
      <c r="I65" s="56">
        <f t="shared" ref="I65:L65" si="66">SUM(I63:I64)</f>
        <v>12</v>
      </c>
      <c r="J65" s="56">
        <f t="shared" si="66"/>
        <v>3</v>
      </c>
      <c r="K65" s="56">
        <f t="shared" si="66"/>
        <v>0</v>
      </c>
      <c r="L65" s="56">
        <f t="shared" si="66"/>
        <v>90.5</v>
      </c>
      <c r="N65" s="56">
        <f>SUM(N63:N64)</f>
        <v>157</v>
      </c>
      <c r="O65" s="56">
        <f t="shared" ref="O65:R65" si="67">SUM(O63:O64)</f>
        <v>31</v>
      </c>
      <c r="P65" s="56">
        <f t="shared" si="67"/>
        <v>9</v>
      </c>
      <c r="Q65" s="56">
        <f t="shared" si="67"/>
        <v>0</v>
      </c>
      <c r="R65" s="56">
        <f t="shared" si="67"/>
        <v>197</v>
      </c>
      <c r="T65" s="56">
        <f t="shared" ref="T65:W65" si="68">SUM(T63:T64)</f>
        <v>32.5</v>
      </c>
      <c r="U65" s="56">
        <f t="shared" si="68"/>
        <v>6</v>
      </c>
      <c r="V65" s="56">
        <f t="shared" si="68"/>
        <v>0</v>
      </c>
      <c r="W65" s="56">
        <f t="shared" si="68"/>
        <v>0</v>
      </c>
      <c r="X65" s="56">
        <f t="shared" ref="X65" si="69">SUM(X63:X64)</f>
        <v>38.5</v>
      </c>
      <c r="Y65" s="197"/>
      <c r="Z65" s="56">
        <f t="shared" ref="Z65:AD65" si="70">SUM(Z63:Z64)</f>
        <v>36</v>
      </c>
      <c r="AA65" s="56">
        <f t="shared" si="70"/>
        <v>6</v>
      </c>
      <c r="AB65" s="56">
        <f t="shared" si="70"/>
        <v>1</v>
      </c>
      <c r="AC65" s="56">
        <f t="shared" si="70"/>
        <v>0</v>
      </c>
      <c r="AD65" s="56">
        <f t="shared" si="70"/>
        <v>43</v>
      </c>
      <c r="AE65" s="197"/>
      <c r="AF65" s="56">
        <f t="shared" ref="AF65:AJ65" si="71">SUM(AF63:AF64)</f>
        <v>42</v>
      </c>
      <c r="AG65" s="56">
        <f t="shared" si="71"/>
        <v>8</v>
      </c>
      <c r="AH65" s="56">
        <f t="shared" si="71"/>
        <v>2</v>
      </c>
      <c r="AI65" s="56">
        <f t="shared" si="71"/>
        <v>0</v>
      </c>
      <c r="AJ65" s="56">
        <f t="shared" si="71"/>
        <v>52</v>
      </c>
      <c r="AL65" s="56">
        <f>SUM(AL63:AL64)</f>
        <v>5</v>
      </c>
      <c r="AM65" s="56">
        <f t="shared" ref="AM65:AP65" si="72">SUM(AM63:AM64)</f>
        <v>3</v>
      </c>
      <c r="AN65" s="56">
        <f t="shared" si="72"/>
        <v>1</v>
      </c>
      <c r="AO65" s="56">
        <f t="shared" si="72"/>
        <v>27</v>
      </c>
      <c r="AP65" s="56">
        <f t="shared" si="72"/>
        <v>36</v>
      </c>
      <c r="AR65" s="56">
        <f>SUM(AR63:AR64)</f>
        <v>426.5</v>
      </c>
      <c r="AS65" s="56">
        <f t="shared" ref="AS65:AV65" si="73">SUM(AS63:AS64)</f>
        <v>78.5</v>
      </c>
      <c r="AT65" s="56">
        <f t="shared" si="73"/>
        <v>19</v>
      </c>
      <c r="AU65" s="56">
        <f t="shared" si="73"/>
        <v>27</v>
      </c>
      <c r="AV65" s="56">
        <f t="shared" si="73"/>
        <v>551</v>
      </c>
    </row>
    <row r="66" spans="1:48" ht="16.5" thickBot="1" x14ac:dyDescent="0.3">
      <c r="B66" s="57"/>
      <c r="C66" s="57"/>
      <c r="D66" s="57"/>
      <c r="E66" s="57"/>
      <c r="F66" s="57"/>
      <c r="H66" s="57"/>
      <c r="I66" s="57"/>
      <c r="J66" s="57"/>
      <c r="K66" s="57"/>
      <c r="L66" s="57"/>
      <c r="N66" s="57"/>
      <c r="O66" s="57"/>
      <c r="P66" s="57"/>
      <c r="Q66" s="57"/>
      <c r="R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L66" s="57"/>
      <c r="AM66" s="57"/>
      <c r="AN66" s="57"/>
      <c r="AO66" s="57"/>
      <c r="AP66" s="57"/>
      <c r="AR66" s="57"/>
      <c r="AS66" s="57"/>
      <c r="AT66" s="57"/>
      <c r="AU66" s="57"/>
      <c r="AV66" s="57"/>
    </row>
    <row r="67" spans="1:48" ht="16.5" thickBot="1" x14ac:dyDescent="0.3">
      <c r="A67" s="19"/>
      <c r="B67" s="58" t="s">
        <v>157</v>
      </c>
      <c r="C67" s="58" t="s">
        <v>158</v>
      </c>
      <c r="D67" s="58" t="s">
        <v>159</v>
      </c>
      <c r="E67" s="59" t="str">
        <f>E20</f>
        <v>Other</v>
      </c>
      <c r="F67" s="59" t="str">
        <f>F20</f>
        <v>FY28- Mtn</v>
      </c>
      <c r="H67" s="58" t="s">
        <v>157</v>
      </c>
      <c r="I67" s="58" t="s">
        <v>158</v>
      </c>
      <c r="J67" s="58" t="s">
        <v>159</v>
      </c>
      <c r="K67" s="59" t="str">
        <f>K20</f>
        <v>Other</v>
      </c>
      <c r="L67" s="59" t="str">
        <f>L20</f>
        <v>FY28- Bon</v>
      </c>
      <c r="N67" s="58" t="s">
        <v>157</v>
      </c>
      <c r="O67" s="58" t="s">
        <v>158</v>
      </c>
      <c r="P67" s="58" t="s">
        <v>159</v>
      </c>
      <c r="Q67" s="59" t="str">
        <f>Q20</f>
        <v>Other</v>
      </c>
      <c r="R67" s="59" t="str">
        <f>R20</f>
        <v>FY28- East</v>
      </c>
      <c r="T67" s="58" t="s">
        <v>157</v>
      </c>
      <c r="U67" s="58" t="s">
        <v>158</v>
      </c>
      <c r="V67" s="58" t="s">
        <v>159</v>
      </c>
      <c r="W67" s="59" t="str">
        <f>W20</f>
        <v>Other</v>
      </c>
      <c r="X67" s="59" t="str">
        <f>X20</f>
        <v>FY28- Cactus</v>
      </c>
      <c r="Y67" s="198"/>
      <c r="Z67" s="58" t="s">
        <v>157</v>
      </c>
      <c r="AA67" s="58" t="s">
        <v>158</v>
      </c>
      <c r="AB67" s="58" t="s">
        <v>159</v>
      </c>
      <c r="AC67" s="59" t="str">
        <f>AC20</f>
        <v>Other</v>
      </c>
      <c r="AD67" s="59" t="str">
        <f>AD20</f>
        <v>FY28- Sahara</v>
      </c>
      <c r="AE67" s="198"/>
      <c r="AF67" s="58" t="s">
        <v>157</v>
      </c>
      <c r="AG67" s="58" t="s">
        <v>158</v>
      </c>
      <c r="AH67" s="58" t="s">
        <v>159</v>
      </c>
      <c r="AI67" s="59" t="str">
        <f>AI20</f>
        <v>Other</v>
      </c>
      <c r="AJ67" s="59" t="str">
        <f>AJ20</f>
        <v>FY27- VV</v>
      </c>
      <c r="AL67" s="58" t="s">
        <v>157</v>
      </c>
      <c r="AM67" s="58" t="s">
        <v>158</v>
      </c>
      <c r="AN67" s="58" t="s">
        <v>159</v>
      </c>
      <c r="AO67" s="59" t="str">
        <f>AO20</f>
        <v>Grant</v>
      </c>
      <c r="AP67" s="59" t="str">
        <f>AP20</f>
        <v>FY28 - Central</v>
      </c>
      <c r="AR67" s="58" t="s">
        <v>157</v>
      </c>
      <c r="AS67" s="58" t="s">
        <v>158</v>
      </c>
      <c r="AT67" s="58" t="s">
        <v>159</v>
      </c>
      <c r="AU67" s="59" t="str">
        <f>AU20</f>
        <v>Other</v>
      </c>
      <c r="AV67" s="59" t="str">
        <f>AV20</f>
        <v>FY28- Sys</v>
      </c>
    </row>
    <row r="68" spans="1:48" x14ac:dyDescent="0.25">
      <c r="A68" s="20" t="s">
        <v>60</v>
      </c>
      <c r="B68" s="60">
        <f>B17*B2</f>
        <v>9951040</v>
      </c>
      <c r="C68" s="60"/>
      <c r="D68" s="60"/>
      <c r="E68" s="60"/>
      <c r="F68" s="60">
        <f>SUM(B68:E68)</f>
        <v>9951040</v>
      </c>
      <c r="H68" s="60">
        <f>H17*H2</f>
        <v>9951040</v>
      </c>
      <c r="I68" s="60"/>
      <c r="J68" s="60"/>
      <c r="K68" s="60"/>
      <c r="L68" s="60">
        <f>SUM(H68:K68)</f>
        <v>9951040</v>
      </c>
      <c r="N68" s="60">
        <f>N17*N2</f>
        <v>23987040</v>
      </c>
      <c r="O68" s="60"/>
      <c r="P68" s="60"/>
      <c r="Q68" s="60"/>
      <c r="R68" s="60">
        <f>SUM(N68:Q68)</f>
        <v>23987040</v>
      </c>
      <c r="T68" s="60">
        <f>T2*T17</f>
        <v>5178800</v>
      </c>
      <c r="U68" s="60"/>
      <c r="V68" s="60"/>
      <c r="W68" s="60"/>
      <c r="X68" s="60">
        <f>SUM(T68:W68)</f>
        <v>5178800</v>
      </c>
      <c r="Y68" s="194"/>
      <c r="Z68" s="60">
        <f>Z2*Z17</f>
        <v>5943520</v>
      </c>
      <c r="AA68" s="60"/>
      <c r="AB68" s="60"/>
      <c r="AC68" s="60"/>
      <c r="AD68" s="60">
        <f>SUM(Z68:AC68)</f>
        <v>5943520</v>
      </c>
      <c r="AE68" s="194"/>
      <c r="AF68" s="60">
        <f>AF2*AF17</f>
        <v>7550400</v>
      </c>
      <c r="AG68" s="60"/>
      <c r="AH68" s="60"/>
      <c r="AI68" s="60"/>
      <c r="AJ68" s="60">
        <f>SUM(AF68:AI68)</f>
        <v>7550400</v>
      </c>
      <c r="AL68" s="60"/>
      <c r="AM68" s="60"/>
      <c r="AN68" s="60"/>
      <c r="AO68" s="60"/>
      <c r="AP68" s="60">
        <f>SUM(AL68:AO68)</f>
        <v>0</v>
      </c>
      <c r="AR68" s="60">
        <f>B68+H68+N68+T68+AL68+AF68+Z68</f>
        <v>62561840</v>
      </c>
      <c r="AS68" s="60">
        <f t="shared" ref="AS68:AU81" si="74">C68+I68+O68+U68+AM68+AG68+AA68</f>
        <v>0</v>
      </c>
      <c r="AT68" s="60">
        <f t="shared" si="74"/>
        <v>0</v>
      </c>
      <c r="AU68" s="60">
        <f t="shared" si="74"/>
        <v>0</v>
      </c>
      <c r="AV68" s="60">
        <f>SUM(AR68:AU68)</f>
        <v>62561840</v>
      </c>
    </row>
    <row r="69" spans="1:48" x14ac:dyDescent="0.25">
      <c r="A69" s="21" t="s">
        <v>61</v>
      </c>
      <c r="B69" s="60">
        <f>(B2*0.4495)*B22</f>
        <v>1566417.5999999999</v>
      </c>
      <c r="C69" s="61"/>
      <c r="D69" s="61"/>
      <c r="E69" s="61"/>
      <c r="F69" s="60">
        <f t="shared" ref="F69:F81" si="75">SUM(B69:E69)</f>
        <v>1566417.5999999999</v>
      </c>
      <c r="H69" s="60">
        <f>(H2*0.4495)*H22</f>
        <v>1566417.5999999999</v>
      </c>
      <c r="I69" s="61"/>
      <c r="J69" s="61"/>
      <c r="K69" s="61"/>
      <c r="L69" s="60">
        <f t="shared" ref="L69:L81" si="76">SUM(H69:K69)</f>
        <v>1566417.5999999999</v>
      </c>
      <c r="N69" s="60">
        <f>(N2*0.4495)*N22</f>
        <v>3176346.8</v>
      </c>
      <c r="O69" s="61"/>
      <c r="P69" s="61"/>
      <c r="Q69" s="61"/>
      <c r="R69" s="60">
        <f t="shared" ref="R69:R81" si="77">SUM(N69:Q69)</f>
        <v>3176346.8</v>
      </c>
      <c r="T69" s="60">
        <f>(T2*0.4495)*T22</f>
        <v>304581.2</v>
      </c>
      <c r="U69" s="61"/>
      <c r="V69" s="61"/>
      <c r="W69" s="61"/>
      <c r="X69" s="60">
        <f t="shared" ref="X69:X81" si="78">SUM(T69:W69)</f>
        <v>304581.2</v>
      </c>
      <c r="Y69" s="194"/>
      <c r="Z69" s="60">
        <f>(Z2*0.4495)*Z22</f>
        <v>652674</v>
      </c>
      <c r="AA69" s="61"/>
      <c r="AB69" s="61"/>
      <c r="AC69" s="61"/>
      <c r="AD69" s="60">
        <f t="shared" ref="AD69:AD81" si="79">SUM(Z69:AC69)</f>
        <v>652674</v>
      </c>
      <c r="AE69" s="194"/>
      <c r="AF69" s="60">
        <f>(AF2*0.4495)*AF22</f>
        <v>0</v>
      </c>
      <c r="AG69" s="61"/>
      <c r="AH69" s="61"/>
      <c r="AI69" s="61"/>
      <c r="AJ69" s="60">
        <f t="shared" ref="AJ69:AJ81" si="80">SUM(AF69:AI69)</f>
        <v>0</v>
      </c>
      <c r="AL69" s="61"/>
      <c r="AM69" s="61"/>
      <c r="AN69" s="61"/>
      <c r="AO69" s="61"/>
      <c r="AP69" s="60">
        <f t="shared" ref="AP69:AP81" si="81">SUM(AL69:AO69)</f>
        <v>0</v>
      </c>
      <c r="AR69" s="60">
        <f t="shared" ref="AR69:AR81" si="82">B69+H69+N69+T69+AL69+AF69+Z69</f>
        <v>7266437.2000000002</v>
      </c>
      <c r="AS69" s="60">
        <f t="shared" si="74"/>
        <v>0</v>
      </c>
      <c r="AT69" s="60">
        <f t="shared" si="74"/>
        <v>0</v>
      </c>
      <c r="AU69" s="60">
        <f t="shared" si="74"/>
        <v>0</v>
      </c>
      <c r="AV69" s="60">
        <f t="shared" ref="AV69:AV81" si="83">SUM(AR69:AU69)</f>
        <v>7266437.2000000002</v>
      </c>
    </row>
    <row r="70" spans="1:48" x14ac:dyDescent="0.25">
      <c r="A70" s="21" t="s">
        <v>62</v>
      </c>
      <c r="B70" s="61">
        <f>B23*1130</f>
        <v>0</v>
      </c>
      <c r="C70" s="61"/>
      <c r="D70" s="61"/>
      <c r="E70" s="61"/>
      <c r="F70" s="60">
        <f t="shared" si="75"/>
        <v>0</v>
      </c>
      <c r="H70" s="61">
        <f>H23*1130</f>
        <v>0</v>
      </c>
      <c r="I70" s="61"/>
      <c r="J70" s="61"/>
      <c r="K70" s="61"/>
      <c r="L70" s="60">
        <f t="shared" si="76"/>
        <v>0</v>
      </c>
      <c r="N70" s="61">
        <f>N23*1130</f>
        <v>0</v>
      </c>
      <c r="O70" s="61"/>
      <c r="P70" s="61"/>
      <c r="Q70" s="61"/>
      <c r="R70" s="60">
        <f t="shared" si="77"/>
        <v>0</v>
      </c>
      <c r="T70" s="60">
        <f>(T2*0.1195)*T23</f>
        <v>0</v>
      </c>
      <c r="U70" s="61"/>
      <c r="V70" s="61"/>
      <c r="W70" s="61"/>
      <c r="X70" s="60">
        <f t="shared" si="78"/>
        <v>0</v>
      </c>
      <c r="Y70" s="194"/>
      <c r="Z70" s="60">
        <f>(Z2*0.1195)*Z23</f>
        <v>0</v>
      </c>
      <c r="AA70" s="61"/>
      <c r="AB70" s="61"/>
      <c r="AC70" s="61"/>
      <c r="AD70" s="60">
        <f t="shared" si="79"/>
        <v>0</v>
      </c>
      <c r="AE70" s="194"/>
      <c r="AF70" s="60">
        <f>(AF2*0.1195)*AF23</f>
        <v>0</v>
      </c>
      <c r="AG70" s="61"/>
      <c r="AH70" s="61"/>
      <c r="AI70" s="61"/>
      <c r="AJ70" s="60">
        <f t="shared" si="80"/>
        <v>0</v>
      </c>
      <c r="AL70" s="61"/>
      <c r="AM70" s="61"/>
      <c r="AN70" s="61"/>
      <c r="AO70" s="61"/>
      <c r="AP70" s="60">
        <f t="shared" si="81"/>
        <v>0</v>
      </c>
      <c r="AR70" s="60">
        <f t="shared" si="82"/>
        <v>0</v>
      </c>
      <c r="AS70" s="60">
        <f t="shared" si="74"/>
        <v>0</v>
      </c>
      <c r="AT70" s="60">
        <f t="shared" si="74"/>
        <v>0</v>
      </c>
      <c r="AU70" s="60">
        <f t="shared" si="74"/>
        <v>0</v>
      </c>
      <c r="AV70" s="60">
        <f t="shared" si="83"/>
        <v>0</v>
      </c>
    </row>
    <row r="71" spans="1:48" x14ac:dyDescent="0.25">
      <c r="A71" s="21" t="s">
        <v>63</v>
      </c>
      <c r="B71" s="61">
        <f>B24*3294</f>
        <v>0</v>
      </c>
      <c r="C71" s="61"/>
      <c r="D71" s="61"/>
      <c r="E71" s="61"/>
      <c r="F71" s="60">
        <f t="shared" si="75"/>
        <v>0</v>
      </c>
      <c r="H71" s="61">
        <f>H24*3294</f>
        <v>0</v>
      </c>
      <c r="I71" s="61"/>
      <c r="J71" s="61"/>
      <c r="K71" s="61"/>
      <c r="L71" s="60">
        <f t="shared" si="76"/>
        <v>0</v>
      </c>
      <c r="N71" s="61">
        <f>N24*3294</f>
        <v>16470</v>
      </c>
      <c r="O71" s="61"/>
      <c r="P71" s="61"/>
      <c r="Q71" s="61"/>
      <c r="R71" s="60">
        <f t="shared" si="77"/>
        <v>16470</v>
      </c>
      <c r="T71" s="60">
        <f>(T2*0.3495)*T24</f>
        <v>0</v>
      </c>
      <c r="U71" s="61"/>
      <c r="V71" s="61"/>
      <c r="W71" s="61"/>
      <c r="X71" s="60">
        <f t="shared" si="78"/>
        <v>0</v>
      </c>
      <c r="Y71" s="194"/>
      <c r="Z71" s="60">
        <f>(Z2*0.3495)*Z24</f>
        <v>0</v>
      </c>
      <c r="AA71" s="61"/>
      <c r="AB71" s="61"/>
      <c r="AC71" s="61"/>
      <c r="AD71" s="60">
        <f t="shared" si="79"/>
        <v>0</v>
      </c>
      <c r="AE71" s="194"/>
      <c r="AF71" s="60">
        <f>(AF2*0.3495)*AF24</f>
        <v>0</v>
      </c>
      <c r="AG71" s="61"/>
      <c r="AH71" s="61"/>
      <c r="AI71" s="61"/>
      <c r="AJ71" s="60">
        <f t="shared" si="80"/>
        <v>0</v>
      </c>
      <c r="AL71" s="61"/>
      <c r="AM71" s="61"/>
      <c r="AN71" s="61"/>
      <c r="AO71" s="61"/>
      <c r="AP71" s="60">
        <f t="shared" si="81"/>
        <v>0</v>
      </c>
      <c r="AR71" s="60">
        <f t="shared" si="82"/>
        <v>16470</v>
      </c>
      <c r="AS71" s="60">
        <f t="shared" si="74"/>
        <v>0</v>
      </c>
      <c r="AT71" s="60">
        <f t="shared" si="74"/>
        <v>0</v>
      </c>
      <c r="AU71" s="60">
        <f t="shared" si="74"/>
        <v>0</v>
      </c>
      <c r="AV71" s="60">
        <f t="shared" si="83"/>
        <v>16470</v>
      </c>
    </row>
    <row r="72" spans="1:48" x14ac:dyDescent="0.25">
      <c r="A72" s="21" t="s">
        <v>64</v>
      </c>
      <c r="B72" s="61">
        <v>393521</v>
      </c>
      <c r="C72" s="61"/>
      <c r="D72" s="61"/>
      <c r="E72" s="61"/>
      <c r="F72" s="60">
        <f t="shared" si="75"/>
        <v>393521</v>
      </c>
      <c r="H72" s="61">
        <v>385109</v>
      </c>
      <c r="I72" s="61"/>
      <c r="J72" s="61"/>
      <c r="K72" s="61"/>
      <c r="L72" s="60">
        <f t="shared" si="76"/>
        <v>385109</v>
      </c>
      <c r="N72" s="61">
        <v>873329</v>
      </c>
      <c r="O72" s="61"/>
      <c r="P72" s="61"/>
      <c r="Q72" s="61"/>
      <c r="R72" s="60">
        <f t="shared" si="77"/>
        <v>873329</v>
      </c>
      <c r="T72" s="61">
        <f>270*450</f>
        <v>121500</v>
      </c>
      <c r="U72" s="61"/>
      <c r="V72" s="61"/>
      <c r="W72" s="61"/>
      <c r="X72" s="60">
        <f t="shared" si="78"/>
        <v>121500</v>
      </c>
      <c r="Y72" s="194"/>
      <c r="Z72" s="61">
        <v>0</v>
      </c>
      <c r="AA72" s="61"/>
      <c r="AB72" s="61"/>
      <c r="AC72" s="61"/>
      <c r="AD72" s="60">
        <f t="shared" si="79"/>
        <v>0</v>
      </c>
      <c r="AE72" s="194"/>
      <c r="AF72" s="61">
        <v>0</v>
      </c>
      <c r="AG72" s="61"/>
      <c r="AH72" s="61"/>
      <c r="AI72" s="61"/>
      <c r="AJ72" s="60">
        <f t="shared" si="80"/>
        <v>0</v>
      </c>
      <c r="AL72" s="61"/>
      <c r="AM72" s="61"/>
      <c r="AN72" s="61"/>
      <c r="AO72" s="61"/>
      <c r="AP72" s="60">
        <f t="shared" si="81"/>
        <v>0</v>
      </c>
      <c r="AR72" s="60">
        <f t="shared" si="82"/>
        <v>1773459</v>
      </c>
      <c r="AS72" s="60">
        <f t="shared" si="74"/>
        <v>0</v>
      </c>
      <c r="AT72" s="60">
        <f t="shared" si="74"/>
        <v>0</v>
      </c>
      <c r="AU72" s="60">
        <f t="shared" si="74"/>
        <v>0</v>
      </c>
      <c r="AV72" s="60">
        <f t="shared" si="83"/>
        <v>1773459</v>
      </c>
    </row>
    <row r="73" spans="1:48" x14ac:dyDescent="0.25">
      <c r="A73" s="21" t="s">
        <v>65</v>
      </c>
      <c r="B73" s="61"/>
      <c r="C73" s="62">
        <v>386750</v>
      </c>
      <c r="D73" s="61"/>
      <c r="E73" s="61"/>
      <c r="F73" s="60">
        <f t="shared" si="75"/>
        <v>386750</v>
      </c>
      <c r="H73" s="61"/>
      <c r="I73" s="62">
        <v>386750</v>
      </c>
      <c r="J73" s="61"/>
      <c r="K73" s="61"/>
      <c r="L73" s="60">
        <f t="shared" si="76"/>
        <v>386750</v>
      </c>
      <c r="N73" s="61"/>
      <c r="O73" s="62">
        <v>914000</v>
      </c>
      <c r="P73" s="61"/>
      <c r="Q73" s="61"/>
      <c r="R73" s="60">
        <f t="shared" si="77"/>
        <v>914000</v>
      </c>
      <c r="T73" s="61"/>
      <c r="U73" s="61"/>
      <c r="V73" s="61"/>
      <c r="W73" s="61"/>
      <c r="X73" s="60">
        <f t="shared" si="78"/>
        <v>0</v>
      </c>
      <c r="Y73" s="194"/>
      <c r="Z73" s="61"/>
      <c r="AA73" s="61"/>
      <c r="AB73" s="61"/>
      <c r="AC73" s="61"/>
      <c r="AD73" s="60">
        <f t="shared" si="79"/>
        <v>0</v>
      </c>
      <c r="AE73" s="194"/>
      <c r="AF73" s="61"/>
      <c r="AG73" s="61"/>
      <c r="AH73" s="61"/>
      <c r="AI73" s="61"/>
      <c r="AJ73" s="60">
        <f t="shared" si="80"/>
        <v>0</v>
      </c>
      <c r="AL73" s="61"/>
      <c r="AM73" s="61"/>
      <c r="AN73" s="61"/>
      <c r="AO73" s="61"/>
      <c r="AP73" s="60">
        <f t="shared" si="81"/>
        <v>0</v>
      </c>
      <c r="AR73" s="60">
        <f t="shared" si="82"/>
        <v>0</v>
      </c>
      <c r="AS73" s="60">
        <f t="shared" si="74"/>
        <v>1687500</v>
      </c>
      <c r="AT73" s="60">
        <f t="shared" si="74"/>
        <v>0</v>
      </c>
      <c r="AU73" s="60">
        <f t="shared" si="74"/>
        <v>0</v>
      </c>
      <c r="AV73" s="60">
        <f t="shared" si="83"/>
        <v>1687500</v>
      </c>
    </row>
    <row r="74" spans="1:48" x14ac:dyDescent="0.25">
      <c r="A74" s="21" t="s">
        <v>66</v>
      </c>
      <c r="B74" s="63"/>
      <c r="C74" s="63">
        <f>3936*C21</f>
        <v>413280</v>
      </c>
      <c r="D74" s="63"/>
      <c r="E74" s="63"/>
      <c r="F74" s="60">
        <f t="shared" si="75"/>
        <v>413280</v>
      </c>
      <c r="H74" s="63"/>
      <c r="I74" s="63">
        <f>3936*I21</f>
        <v>413280</v>
      </c>
      <c r="J74" s="63"/>
      <c r="K74" s="63"/>
      <c r="L74" s="60">
        <f t="shared" si="76"/>
        <v>413280</v>
      </c>
      <c r="N74" s="63"/>
      <c r="O74" s="63">
        <f>3936*O21</f>
        <v>1039104</v>
      </c>
      <c r="P74" s="63"/>
      <c r="Q74" s="63"/>
      <c r="R74" s="60">
        <f t="shared" si="77"/>
        <v>1039104</v>
      </c>
      <c r="T74" s="61"/>
      <c r="U74" s="61">
        <f>U21*3900</f>
        <v>234000</v>
      </c>
      <c r="V74" s="61"/>
      <c r="W74" s="61"/>
      <c r="X74" s="60">
        <f t="shared" si="78"/>
        <v>234000</v>
      </c>
      <c r="Y74" s="194"/>
      <c r="Z74" s="61"/>
      <c r="AA74" s="61">
        <f>3900*AA21</f>
        <v>195000</v>
      </c>
      <c r="AB74" s="61"/>
      <c r="AC74" s="61"/>
      <c r="AD74" s="60">
        <f t="shared" si="79"/>
        <v>195000</v>
      </c>
      <c r="AE74" s="194"/>
      <c r="AF74" s="61"/>
      <c r="AG74" s="61"/>
      <c r="AH74" s="61"/>
      <c r="AI74" s="61"/>
      <c r="AJ74" s="60">
        <f t="shared" si="80"/>
        <v>0</v>
      </c>
      <c r="AL74" s="61"/>
      <c r="AM74" s="61"/>
      <c r="AN74" s="61"/>
      <c r="AO74" s="61"/>
      <c r="AP74" s="60">
        <f t="shared" si="81"/>
        <v>0</v>
      </c>
      <c r="AR74" s="60">
        <f t="shared" si="82"/>
        <v>0</v>
      </c>
      <c r="AS74" s="60">
        <f t="shared" si="74"/>
        <v>2294664</v>
      </c>
      <c r="AT74" s="60">
        <f t="shared" si="74"/>
        <v>0</v>
      </c>
      <c r="AU74" s="60">
        <f t="shared" si="74"/>
        <v>0</v>
      </c>
      <c r="AV74" s="60">
        <f t="shared" si="83"/>
        <v>2294664</v>
      </c>
    </row>
    <row r="75" spans="1:48" x14ac:dyDescent="0.25">
      <c r="A75" s="21" t="s">
        <v>67</v>
      </c>
      <c r="B75" s="63"/>
      <c r="C75" s="63">
        <v>105981</v>
      </c>
      <c r="D75" s="63"/>
      <c r="E75" s="63"/>
      <c r="F75" s="60">
        <f t="shared" si="75"/>
        <v>105981</v>
      </c>
      <c r="H75" s="63"/>
      <c r="I75" s="63">
        <v>105981</v>
      </c>
      <c r="J75" s="63"/>
      <c r="K75" s="63"/>
      <c r="L75" s="60">
        <f t="shared" si="76"/>
        <v>105981</v>
      </c>
      <c r="N75" s="63"/>
      <c r="O75" s="63">
        <v>239137</v>
      </c>
      <c r="P75" s="63"/>
      <c r="Q75" s="63"/>
      <c r="R75" s="60">
        <f t="shared" si="77"/>
        <v>239137</v>
      </c>
      <c r="T75" s="61"/>
      <c r="U75" s="63">
        <f>952*U21</f>
        <v>57120</v>
      </c>
      <c r="V75" s="61"/>
      <c r="W75" s="61"/>
      <c r="X75" s="60">
        <f t="shared" si="78"/>
        <v>57120</v>
      </c>
      <c r="Y75" s="194"/>
      <c r="Z75" s="61"/>
      <c r="AA75" s="63">
        <f>951*AA21</f>
        <v>47550</v>
      </c>
      <c r="AB75" s="61"/>
      <c r="AC75" s="61"/>
      <c r="AD75" s="60">
        <f t="shared" si="79"/>
        <v>47550</v>
      </c>
      <c r="AE75" s="194"/>
      <c r="AF75" s="61"/>
      <c r="AG75" s="63">
        <f>951*AG21</f>
        <v>90345</v>
      </c>
      <c r="AH75" s="61"/>
      <c r="AI75" s="61"/>
      <c r="AJ75" s="60">
        <f t="shared" si="80"/>
        <v>90345</v>
      </c>
      <c r="AL75" s="61"/>
      <c r="AM75" s="61"/>
      <c r="AN75" s="61"/>
      <c r="AO75" s="61"/>
      <c r="AP75" s="60">
        <f t="shared" si="81"/>
        <v>0</v>
      </c>
      <c r="AR75" s="60">
        <f t="shared" si="82"/>
        <v>0</v>
      </c>
      <c r="AS75" s="60">
        <f t="shared" si="74"/>
        <v>646114</v>
      </c>
      <c r="AT75" s="60">
        <f t="shared" si="74"/>
        <v>0</v>
      </c>
      <c r="AU75" s="60">
        <f t="shared" si="74"/>
        <v>0</v>
      </c>
      <c r="AV75" s="60">
        <f t="shared" si="83"/>
        <v>646114</v>
      </c>
    </row>
    <row r="76" spans="1:48" x14ac:dyDescent="0.25">
      <c r="A76" s="21" t="s">
        <v>68</v>
      </c>
      <c r="B76" s="61">
        <v>70000</v>
      </c>
      <c r="C76" s="63"/>
      <c r="D76" s="63"/>
      <c r="E76" s="63"/>
      <c r="F76" s="60">
        <f t="shared" si="75"/>
        <v>70000</v>
      </c>
      <c r="H76" s="61">
        <v>70000</v>
      </c>
      <c r="I76" s="63"/>
      <c r="J76" s="63"/>
      <c r="K76" s="63"/>
      <c r="L76" s="60">
        <f t="shared" si="76"/>
        <v>70000</v>
      </c>
      <c r="N76" s="61">
        <v>70000</v>
      </c>
      <c r="O76" s="63"/>
      <c r="P76" s="63"/>
      <c r="Q76" s="63"/>
      <c r="R76" s="60">
        <f t="shared" si="77"/>
        <v>70000</v>
      </c>
      <c r="T76" s="61">
        <v>35000</v>
      </c>
      <c r="U76" s="61"/>
      <c r="V76" s="61"/>
      <c r="W76" s="61"/>
      <c r="X76" s="60">
        <f t="shared" si="78"/>
        <v>35000</v>
      </c>
      <c r="Y76" s="194"/>
      <c r="Z76" s="61">
        <v>20000</v>
      </c>
      <c r="AA76" s="61"/>
      <c r="AB76" s="61"/>
      <c r="AC76" s="61"/>
      <c r="AD76" s="60">
        <f t="shared" si="79"/>
        <v>20000</v>
      </c>
      <c r="AE76" s="194"/>
      <c r="AF76" s="61">
        <v>0</v>
      </c>
      <c r="AG76" s="61"/>
      <c r="AH76" s="61"/>
      <c r="AI76" s="61"/>
      <c r="AJ76" s="60">
        <f t="shared" si="80"/>
        <v>0</v>
      </c>
      <c r="AL76" s="61"/>
      <c r="AM76" s="61"/>
      <c r="AN76" s="61"/>
      <c r="AO76" s="61"/>
      <c r="AP76" s="60">
        <f t="shared" si="81"/>
        <v>0</v>
      </c>
      <c r="AR76" s="60">
        <f t="shared" si="82"/>
        <v>265000</v>
      </c>
      <c r="AS76" s="60">
        <f t="shared" si="74"/>
        <v>0</v>
      </c>
      <c r="AT76" s="60">
        <f t="shared" si="74"/>
        <v>0</v>
      </c>
      <c r="AU76" s="60">
        <f t="shared" si="74"/>
        <v>0</v>
      </c>
      <c r="AV76" s="60">
        <f t="shared" si="83"/>
        <v>265000</v>
      </c>
    </row>
    <row r="77" spans="1:48" x14ac:dyDescent="0.25">
      <c r="A77" s="21" t="s">
        <v>69</v>
      </c>
      <c r="B77" s="63"/>
      <c r="C77" s="63"/>
      <c r="D77" s="63"/>
      <c r="E77" s="63"/>
      <c r="F77" s="60">
        <f t="shared" si="75"/>
        <v>0</v>
      </c>
      <c r="H77" s="63"/>
      <c r="I77" s="63"/>
      <c r="J77" s="63"/>
      <c r="K77" s="63"/>
      <c r="L77" s="60">
        <f t="shared" si="76"/>
        <v>0</v>
      </c>
      <c r="N77" s="63"/>
      <c r="O77" s="63"/>
      <c r="P77" s="63"/>
      <c r="Q77" s="63"/>
      <c r="R77" s="60">
        <f t="shared" si="77"/>
        <v>0</v>
      </c>
      <c r="T77" s="61"/>
      <c r="U77" s="61"/>
      <c r="V77" s="61"/>
      <c r="W77" s="61"/>
      <c r="X77" s="60">
        <f t="shared" si="78"/>
        <v>0</v>
      </c>
      <c r="Y77" s="194"/>
      <c r="Z77" s="61"/>
      <c r="AA77" s="61"/>
      <c r="AB77" s="61"/>
      <c r="AC77" s="61"/>
      <c r="AD77" s="60">
        <f t="shared" si="79"/>
        <v>0</v>
      </c>
      <c r="AE77" s="194"/>
      <c r="AF77" s="61"/>
      <c r="AG77" s="61"/>
      <c r="AH77" s="61"/>
      <c r="AI77" s="61"/>
      <c r="AJ77" s="60">
        <f t="shared" si="80"/>
        <v>0</v>
      </c>
      <c r="AL77" s="61"/>
      <c r="AM77" s="61"/>
      <c r="AN77" s="61"/>
      <c r="AO77" s="61">
        <v>1993322</v>
      </c>
      <c r="AP77" s="60">
        <f t="shared" si="81"/>
        <v>1993322</v>
      </c>
      <c r="AR77" s="60">
        <f t="shared" si="82"/>
        <v>0</v>
      </c>
      <c r="AS77" s="60">
        <f t="shared" si="74"/>
        <v>0</v>
      </c>
      <c r="AT77" s="60">
        <f t="shared" si="74"/>
        <v>0</v>
      </c>
      <c r="AU77" s="60">
        <f t="shared" si="74"/>
        <v>1993322</v>
      </c>
      <c r="AV77" s="60">
        <f t="shared" si="83"/>
        <v>1993322</v>
      </c>
    </row>
    <row r="78" spans="1:48" x14ac:dyDescent="0.25">
      <c r="A78" s="21" t="s">
        <v>70</v>
      </c>
      <c r="B78" s="63"/>
      <c r="C78" s="63"/>
      <c r="D78" s="63"/>
      <c r="E78" s="63"/>
      <c r="F78" s="60">
        <f t="shared" si="75"/>
        <v>0</v>
      </c>
      <c r="H78" s="63"/>
      <c r="I78" s="63"/>
      <c r="J78" s="63"/>
      <c r="K78" s="63"/>
      <c r="L78" s="60">
        <f t="shared" si="76"/>
        <v>0</v>
      </c>
      <c r="N78" s="63"/>
      <c r="O78" s="63"/>
      <c r="P78" s="63"/>
      <c r="Q78" s="63"/>
      <c r="R78" s="60">
        <f t="shared" si="77"/>
        <v>0</v>
      </c>
      <c r="T78" s="61"/>
      <c r="U78" s="61"/>
      <c r="V78" s="61"/>
      <c r="W78" s="61"/>
      <c r="X78" s="60">
        <f t="shared" si="78"/>
        <v>0</v>
      </c>
      <c r="Y78" s="194"/>
      <c r="Z78" s="61"/>
      <c r="AA78" s="61"/>
      <c r="AB78" s="61"/>
      <c r="AC78" s="61"/>
      <c r="AD78" s="60">
        <f t="shared" si="79"/>
        <v>0</v>
      </c>
      <c r="AE78" s="194"/>
      <c r="AF78" s="61"/>
      <c r="AG78" s="61"/>
      <c r="AH78" s="61"/>
      <c r="AI78" s="61"/>
      <c r="AJ78" s="60">
        <f t="shared" si="80"/>
        <v>0</v>
      </c>
      <c r="AL78" s="61"/>
      <c r="AM78" s="61"/>
      <c r="AN78" s="61"/>
      <c r="AO78" s="61"/>
      <c r="AP78" s="60">
        <f t="shared" si="81"/>
        <v>0</v>
      </c>
      <c r="AR78" s="60">
        <f t="shared" si="82"/>
        <v>0</v>
      </c>
      <c r="AS78" s="60">
        <f t="shared" si="74"/>
        <v>0</v>
      </c>
      <c r="AT78" s="60">
        <f t="shared" si="74"/>
        <v>0</v>
      </c>
      <c r="AU78" s="60">
        <f t="shared" si="74"/>
        <v>0</v>
      </c>
      <c r="AV78" s="60">
        <f t="shared" si="83"/>
        <v>0</v>
      </c>
    </row>
    <row r="79" spans="1:48" x14ac:dyDescent="0.25">
      <c r="A79" s="21" t="s">
        <v>71</v>
      </c>
      <c r="B79" s="63"/>
      <c r="C79" s="63"/>
      <c r="D79" s="63"/>
      <c r="E79" s="63"/>
      <c r="F79" s="60">
        <f t="shared" si="75"/>
        <v>0</v>
      </c>
      <c r="H79" s="63"/>
      <c r="I79" s="63"/>
      <c r="J79" s="63"/>
      <c r="K79" s="63"/>
      <c r="L79" s="60">
        <f t="shared" si="76"/>
        <v>0</v>
      </c>
      <c r="N79" s="63"/>
      <c r="O79" s="63"/>
      <c r="P79" s="63"/>
      <c r="Q79" s="63"/>
      <c r="R79" s="60">
        <f t="shared" si="77"/>
        <v>0</v>
      </c>
      <c r="T79" s="61"/>
      <c r="U79" s="61"/>
      <c r="V79" s="61"/>
      <c r="W79" s="61"/>
      <c r="X79" s="60">
        <f t="shared" si="78"/>
        <v>0</v>
      </c>
      <c r="Y79" s="194"/>
      <c r="Z79" s="61"/>
      <c r="AA79" s="61"/>
      <c r="AB79" s="61"/>
      <c r="AC79" s="61"/>
      <c r="AD79" s="60">
        <f t="shared" si="79"/>
        <v>0</v>
      </c>
      <c r="AE79" s="194"/>
      <c r="AF79" s="61"/>
      <c r="AG79" s="61"/>
      <c r="AH79" s="61"/>
      <c r="AI79" s="61"/>
      <c r="AJ79" s="60">
        <f t="shared" si="80"/>
        <v>0</v>
      </c>
      <c r="AL79" s="61"/>
      <c r="AM79" s="61"/>
      <c r="AN79" s="61"/>
      <c r="AO79" s="61"/>
      <c r="AP79" s="60">
        <f t="shared" si="81"/>
        <v>0</v>
      </c>
      <c r="AR79" s="60">
        <f t="shared" si="82"/>
        <v>0</v>
      </c>
      <c r="AS79" s="60">
        <f t="shared" si="74"/>
        <v>0</v>
      </c>
      <c r="AT79" s="60">
        <f t="shared" si="74"/>
        <v>0</v>
      </c>
      <c r="AU79" s="60">
        <f t="shared" si="74"/>
        <v>0</v>
      </c>
      <c r="AV79" s="60">
        <f t="shared" si="83"/>
        <v>0</v>
      </c>
    </row>
    <row r="80" spans="1:48" x14ac:dyDescent="0.25">
      <c r="A80" s="21" t="s">
        <v>72</v>
      </c>
      <c r="B80" s="63"/>
      <c r="C80" s="63"/>
      <c r="D80" s="61">
        <f>(((950*0.9923)*180)*2.94)+(((950*0.0077)*180)*0.31)</f>
        <v>499277.07899999997</v>
      </c>
      <c r="E80" s="63"/>
      <c r="F80" s="60">
        <f t="shared" si="75"/>
        <v>499277.07899999997</v>
      </c>
      <c r="H80" s="63"/>
      <c r="I80" s="63"/>
      <c r="J80" s="61">
        <f>(((875*0.9923)*180)*2.94)+(((875*0.0077)*180)*0.31)</f>
        <v>459860.46750000003</v>
      </c>
      <c r="K80" s="63"/>
      <c r="L80" s="60">
        <f t="shared" si="76"/>
        <v>459860.46750000003</v>
      </c>
      <c r="N80" s="63"/>
      <c r="O80" s="63"/>
      <c r="P80" s="61">
        <f>(((1100*0.9923)*180)*2.94)+(((1100*0.0077)*180)*0.32)</f>
        <v>578125.54799999995</v>
      </c>
      <c r="Q80" s="63"/>
      <c r="R80" s="60">
        <f t="shared" si="77"/>
        <v>578125.54799999995</v>
      </c>
      <c r="T80" s="61"/>
      <c r="U80" s="61"/>
      <c r="V80" s="61">
        <f>330*2.9*180</f>
        <v>172260</v>
      </c>
      <c r="W80" s="61"/>
      <c r="X80" s="60">
        <f t="shared" si="78"/>
        <v>172260</v>
      </c>
      <c r="Y80" s="194"/>
      <c r="Z80" s="61"/>
      <c r="AA80" s="61"/>
      <c r="AB80" s="61">
        <f>400*2.45*180</f>
        <v>176400.00000000003</v>
      </c>
      <c r="AC80" s="61"/>
      <c r="AD80" s="60">
        <f t="shared" si="79"/>
        <v>176400.00000000003</v>
      </c>
      <c r="AE80" s="194"/>
      <c r="AF80" s="61"/>
      <c r="AG80" s="61"/>
      <c r="AH80" s="61">
        <f>650*2.4*180</f>
        <v>280800</v>
      </c>
      <c r="AI80" s="61"/>
      <c r="AJ80" s="60">
        <f t="shared" si="80"/>
        <v>280800</v>
      </c>
      <c r="AL80" s="61"/>
      <c r="AM80" s="61"/>
      <c r="AN80" s="61"/>
      <c r="AO80" s="61"/>
      <c r="AP80" s="60">
        <f t="shared" si="81"/>
        <v>0</v>
      </c>
      <c r="AR80" s="60">
        <f t="shared" si="82"/>
        <v>0</v>
      </c>
      <c r="AS80" s="60">
        <f t="shared" si="74"/>
        <v>0</v>
      </c>
      <c r="AT80" s="60">
        <f t="shared" si="74"/>
        <v>2166723.0945000001</v>
      </c>
      <c r="AU80" s="60">
        <f t="shared" si="74"/>
        <v>0</v>
      </c>
      <c r="AV80" s="60">
        <f t="shared" si="83"/>
        <v>2166723.0945000001</v>
      </c>
    </row>
    <row r="81" spans="1:48" x14ac:dyDescent="0.25">
      <c r="A81" s="22" t="s">
        <v>73</v>
      </c>
      <c r="B81" s="64"/>
      <c r="C81" s="64"/>
      <c r="D81" s="61">
        <f>(((805*0.9923)*4.62)*180)+(((805*0.0077)*0.61)*180)</f>
        <v>664963.9227</v>
      </c>
      <c r="E81" s="64"/>
      <c r="F81" s="60">
        <f t="shared" si="75"/>
        <v>664963.9227</v>
      </c>
      <c r="H81" s="64"/>
      <c r="I81" s="64"/>
      <c r="J81" s="61">
        <f>(((600*0.9923)*4.62)*180)+(((600*0.0077)*0.61)*180)</f>
        <v>495625.28400000004</v>
      </c>
      <c r="K81" s="64"/>
      <c r="L81" s="60">
        <f t="shared" si="76"/>
        <v>495625.28400000004</v>
      </c>
      <c r="N81" s="64"/>
      <c r="O81" s="64"/>
      <c r="P81" s="61">
        <f>(((1100*0.9923)*4.62)*180)+(((1100*0.0077)*0.61)*180)</f>
        <v>908646.35400000005</v>
      </c>
      <c r="Q81" s="64"/>
      <c r="R81" s="60">
        <f t="shared" si="77"/>
        <v>908646.35400000005</v>
      </c>
      <c r="T81" s="91"/>
      <c r="U81" s="91"/>
      <c r="V81" s="61">
        <f>330*4.65*180</f>
        <v>276210.00000000006</v>
      </c>
      <c r="W81" s="91"/>
      <c r="X81" s="60">
        <f t="shared" si="78"/>
        <v>276210.00000000006</v>
      </c>
      <c r="Y81" s="194"/>
      <c r="Z81" s="91"/>
      <c r="AA81" s="91"/>
      <c r="AB81" s="61">
        <f>430*4.5*180</f>
        <v>348300</v>
      </c>
      <c r="AC81" s="91"/>
      <c r="AD81" s="60">
        <f t="shared" si="79"/>
        <v>348300</v>
      </c>
      <c r="AE81" s="194"/>
      <c r="AF81" s="91"/>
      <c r="AG81" s="91"/>
      <c r="AH81" s="61">
        <f>650*4.45*180</f>
        <v>520650</v>
      </c>
      <c r="AI81" s="91"/>
      <c r="AJ81" s="60">
        <f t="shared" si="80"/>
        <v>520650</v>
      </c>
      <c r="AL81" s="91"/>
      <c r="AM81" s="91"/>
      <c r="AN81" s="61"/>
      <c r="AO81" s="91"/>
      <c r="AP81" s="60">
        <f t="shared" si="81"/>
        <v>0</v>
      </c>
      <c r="AR81" s="60">
        <f t="shared" si="82"/>
        <v>0</v>
      </c>
      <c r="AS81" s="60">
        <f t="shared" si="74"/>
        <v>0</v>
      </c>
      <c r="AT81" s="60">
        <f t="shared" si="74"/>
        <v>3214395.5607000003</v>
      </c>
      <c r="AU81" s="60">
        <f t="shared" si="74"/>
        <v>0</v>
      </c>
      <c r="AV81" s="60">
        <f t="shared" si="83"/>
        <v>3214395.5607000003</v>
      </c>
    </row>
    <row r="82" spans="1:48" x14ac:dyDescent="0.25">
      <c r="A82" s="23"/>
      <c r="B82" s="65">
        <f>SUM(B68:B81)</f>
        <v>11980978.6</v>
      </c>
      <c r="C82" s="65">
        <f t="shared" ref="C82:F82" si="84">SUM(C68:C81)</f>
        <v>906011</v>
      </c>
      <c r="D82" s="65">
        <f t="shared" si="84"/>
        <v>1164241.0016999999</v>
      </c>
      <c r="E82" s="65">
        <f t="shared" si="84"/>
        <v>0</v>
      </c>
      <c r="F82" s="65">
        <f t="shared" si="84"/>
        <v>14051230.6017</v>
      </c>
      <c r="H82" s="65">
        <f>SUM(H68:H81)</f>
        <v>11972566.6</v>
      </c>
      <c r="I82" s="65">
        <f t="shared" ref="I82:L82" si="85">SUM(I68:I81)</f>
        <v>906011</v>
      </c>
      <c r="J82" s="65">
        <f t="shared" si="85"/>
        <v>955485.75150000001</v>
      </c>
      <c r="K82" s="65">
        <f t="shared" si="85"/>
        <v>0</v>
      </c>
      <c r="L82" s="65">
        <f t="shared" si="85"/>
        <v>13834063.351499999</v>
      </c>
      <c r="N82" s="65">
        <f>SUM(N68:N81)</f>
        <v>28123185.800000001</v>
      </c>
      <c r="O82" s="65">
        <f t="shared" ref="O82:R82" si="86">SUM(O68:O81)</f>
        <v>2192241</v>
      </c>
      <c r="P82" s="65">
        <f t="shared" si="86"/>
        <v>1486771.902</v>
      </c>
      <c r="Q82" s="65">
        <f t="shared" si="86"/>
        <v>0</v>
      </c>
      <c r="R82" s="65">
        <f t="shared" si="86"/>
        <v>31802198.702</v>
      </c>
      <c r="T82" s="65">
        <f t="shared" ref="T82:W82" si="87">SUM(T68:T81)</f>
        <v>5639881.2000000002</v>
      </c>
      <c r="U82" s="65">
        <f t="shared" si="87"/>
        <v>291120</v>
      </c>
      <c r="V82" s="65">
        <f t="shared" si="87"/>
        <v>448470.00000000006</v>
      </c>
      <c r="W82" s="65">
        <f t="shared" si="87"/>
        <v>0</v>
      </c>
      <c r="X82" s="65">
        <f t="shared" ref="X82" si="88">SUM(X68:X81)</f>
        <v>6379471.2000000002</v>
      </c>
      <c r="Y82" s="199"/>
      <c r="Z82" s="65">
        <f t="shared" ref="Z82:AD82" si="89">SUM(Z68:Z81)</f>
        <v>6616194</v>
      </c>
      <c r="AA82" s="65">
        <f t="shared" si="89"/>
        <v>242550</v>
      </c>
      <c r="AB82" s="65">
        <f t="shared" si="89"/>
        <v>524700</v>
      </c>
      <c r="AC82" s="65">
        <f t="shared" si="89"/>
        <v>0</v>
      </c>
      <c r="AD82" s="65">
        <f t="shared" si="89"/>
        <v>7383444</v>
      </c>
      <c r="AE82" s="199"/>
      <c r="AF82" s="65">
        <f t="shared" ref="AF82:AJ82" si="90">SUM(AF68:AF81)</f>
        <v>7550400</v>
      </c>
      <c r="AG82" s="65">
        <f t="shared" si="90"/>
        <v>90345</v>
      </c>
      <c r="AH82" s="65">
        <f t="shared" si="90"/>
        <v>801450</v>
      </c>
      <c r="AI82" s="65">
        <f t="shared" si="90"/>
        <v>0</v>
      </c>
      <c r="AJ82" s="65">
        <f t="shared" si="90"/>
        <v>8442195</v>
      </c>
      <c r="AL82" s="65">
        <f>SUM(AL68:AL81)</f>
        <v>0</v>
      </c>
      <c r="AM82" s="65">
        <f t="shared" ref="AM82:AO82" si="91">SUM(AM68:AM81)</f>
        <v>0</v>
      </c>
      <c r="AN82" s="65">
        <f t="shared" si="91"/>
        <v>0</v>
      </c>
      <c r="AO82" s="65">
        <f t="shared" si="91"/>
        <v>1993322</v>
      </c>
      <c r="AP82" s="65">
        <f t="shared" ref="AP82" si="92">SUM(AP68:AP81)</f>
        <v>1993322</v>
      </c>
      <c r="AR82" s="65">
        <f>SUM(AR68:AR81)</f>
        <v>71883206.200000003</v>
      </c>
      <c r="AS82" s="65">
        <f t="shared" ref="AS82:AV82" si="93">SUM(AS68:AS81)</f>
        <v>4628278</v>
      </c>
      <c r="AT82" s="65">
        <f t="shared" si="93"/>
        <v>5381118.6552000009</v>
      </c>
      <c r="AU82" s="65">
        <f t="shared" si="93"/>
        <v>1993322</v>
      </c>
      <c r="AV82" s="65">
        <f t="shared" si="93"/>
        <v>83885924.855200008</v>
      </c>
    </row>
    <row r="83" spans="1:48" x14ac:dyDescent="0.25">
      <c r="B83" s="57"/>
      <c r="C83" s="57"/>
      <c r="D83" s="57"/>
      <c r="E83" s="57"/>
      <c r="F83" s="57"/>
      <c r="H83" s="57"/>
      <c r="I83" s="57"/>
      <c r="J83" s="57"/>
      <c r="K83" s="57"/>
      <c r="L83" s="57"/>
      <c r="N83" s="57"/>
      <c r="O83" s="57"/>
      <c r="P83" s="57"/>
      <c r="Q83" s="57"/>
      <c r="R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L83" s="57"/>
      <c r="AM83" s="57"/>
      <c r="AN83" s="57"/>
      <c r="AO83" s="57"/>
      <c r="AP83" s="57"/>
      <c r="AR83" s="57"/>
      <c r="AS83" s="57"/>
      <c r="AT83" s="57"/>
      <c r="AU83" s="57"/>
      <c r="AV83" s="57"/>
    </row>
    <row r="84" spans="1:48" x14ac:dyDescent="0.25">
      <c r="A84" s="24"/>
      <c r="B84" s="66" t="s">
        <v>157</v>
      </c>
      <c r="C84" s="66" t="s">
        <v>158</v>
      </c>
      <c r="D84" s="66" t="s">
        <v>159</v>
      </c>
      <c r="E84" s="67" t="str">
        <f>E67</f>
        <v>Other</v>
      </c>
      <c r="F84" s="67" t="str">
        <f>F67</f>
        <v>FY28- Mtn</v>
      </c>
      <c r="H84" s="66" t="s">
        <v>157</v>
      </c>
      <c r="I84" s="66" t="s">
        <v>158</v>
      </c>
      <c r="J84" s="66" t="s">
        <v>159</v>
      </c>
      <c r="K84" s="67" t="str">
        <f>K67</f>
        <v>Other</v>
      </c>
      <c r="L84" s="67" t="str">
        <f>L67</f>
        <v>FY28- Bon</v>
      </c>
      <c r="N84" s="66" t="s">
        <v>157</v>
      </c>
      <c r="O84" s="66" t="s">
        <v>158</v>
      </c>
      <c r="P84" s="66" t="s">
        <v>159</v>
      </c>
      <c r="Q84" s="67" t="str">
        <f>Q67</f>
        <v>Other</v>
      </c>
      <c r="R84" s="67" t="str">
        <f>R67</f>
        <v>FY28- East</v>
      </c>
      <c r="T84" s="66" t="s">
        <v>157</v>
      </c>
      <c r="U84" s="66" t="s">
        <v>158</v>
      </c>
      <c r="V84" s="66" t="s">
        <v>159</v>
      </c>
      <c r="W84" s="67" t="str">
        <f>W67</f>
        <v>Other</v>
      </c>
      <c r="X84" s="67" t="str">
        <f>X67</f>
        <v>FY28- Cactus</v>
      </c>
      <c r="Y84" s="198"/>
      <c r="Z84" s="66" t="s">
        <v>157</v>
      </c>
      <c r="AA84" s="66" t="s">
        <v>158</v>
      </c>
      <c r="AB84" s="66" t="s">
        <v>159</v>
      </c>
      <c r="AC84" s="67" t="str">
        <f>AC67</f>
        <v>Other</v>
      </c>
      <c r="AD84" s="67" t="str">
        <f>AD67</f>
        <v>FY28- Sahara</v>
      </c>
      <c r="AE84" s="198"/>
      <c r="AF84" s="66" t="s">
        <v>157</v>
      </c>
      <c r="AG84" s="66" t="s">
        <v>158</v>
      </c>
      <c r="AH84" s="66" t="s">
        <v>159</v>
      </c>
      <c r="AI84" s="67" t="str">
        <f>AI67</f>
        <v>Other</v>
      </c>
      <c r="AJ84" s="67" t="str">
        <f>AJ67</f>
        <v>FY27- VV</v>
      </c>
      <c r="AL84" s="66" t="s">
        <v>157</v>
      </c>
      <c r="AM84" s="66" t="s">
        <v>158</v>
      </c>
      <c r="AN84" s="66" t="s">
        <v>159</v>
      </c>
      <c r="AO84" s="67" t="str">
        <f>AO67</f>
        <v>Grant</v>
      </c>
      <c r="AP84" s="67" t="str">
        <f>AP67</f>
        <v>FY28 - Central</v>
      </c>
      <c r="AR84" s="66" t="s">
        <v>157</v>
      </c>
      <c r="AS84" s="66" t="s">
        <v>158</v>
      </c>
      <c r="AT84" s="66" t="s">
        <v>159</v>
      </c>
      <c r="AU84" s="67" t="str">
        <f>AU67</f>
        <v>Other</v>
      </c>
      <c r="AV84" s="67" t="str">
        <f>AV67</f>
        <v>FY28- Sys</v>
      </c>
    </row>
    <row r="85" spans="1:48" x14ac:dyDescent="0.25">
      <c r="A85" s="20" t="s">
        <v>74</v>
      </c>
      <c r="B85" s="68"/>
      <c r="C85" s="68"/>
      <c r="D85" s="68"/>
      <c r="E85" s="68"/>
      <c r="F85" s="68"/>
      <c r="H85" s="68"/>
      <c r="I85" s="68"/>
      <c r="J85" s="68"/>
      <c r="K85" s="68"/>
      <c r="L85" s="68"/>
      <c r="N85" s="75"/>
      <c r="O85" s="75"/>
      <c r="P85" s="75"/>
      <c r="Q85" s="75"/>
      <c r="R85" s="75">
        <f>SUM(N85:Q85)</f>
        <v>0</v>
      </c>
      <c r="T85" s="68"/>
      <c r="U85" s="68"/>
      <c r="V85" s="68"/>
      <c r="W85" s="68"/>
      <c r="X85" s="68"/>
      <c r="Y85" s="57"/>
      <c r="Z85" s="68"/>
      <c r="AA85" s="68"/>
      <c r="AB85" s="68"/>
      <c r="AC85" s="68"/>
      <c r="AD85" s="68"/>
      <c r="AE85" s="57"/>
      <c r="AF85" s="68"/>
      <c r="AG85" s="68"/>
      <c r="AH85" s="68"/>
      <c r="AI85" s="68"/>
      <c r="AJ85" s="68"/>
      <c r="AL85" s="75"/>
      <c r="AM85" s="75"/>
      <c r="AN85" s="75"/>
      <c r="AO85" s="75"/>
      <c r="AP85" s="68"/>
      <c r="AR85" s="75">
        <f>B85+H85+N85+T85+AL85+AF85+Z85</f>
        <v>0</v>
      </c>
      <c r="AS85" s="75">
        <f t="shared" ref="AS85:AU87" si="94">C85+I85+O85+U85+AM85+AG85+AA85</f>
        <v>0</v>
      </c>
      <c r="AT85" s="75">
        <f t="shared" si="94"/>
        <v>0</v>
      </c>
      <c r="AU85" s="75">
        <f t="shared" si="94"/>
        <v>0</v>
      </c>
      <c r="AV85" s="93">
        <f>SUM(AR85:AU85)</f>
        <v>0</v>
      </c>
    </row>
    <row r="86" spans="1:48" x14ac:dyDescent="0.25">
      <c r="A86" s="21" t="s">
        <v>75</v>
      </c>
      <c r="B86" s="69"/>
      <c r="C86" s="69"/>
      <c r="D86" s="69"/>
      <c r="E86" s="69"/>
      <c r="F86" s="69"/>
      <c r="H86" s="69"/>
      <c r="I86" s="69"/>
      <c r="J86" s="69"/>
      <c r="K86" s="69"/>
      <c r="L86" s="69"/>
      <c r="N86" s="63"/>
      <c r="O86" s="63"/>
      <c r="P86" s="63"/>
      <c r="Q86" s="63"/>
      <c r="R86" s="75">
        <f t="shared" ref="R86:R87" si="95">SUM(N86:Q86)</f>
        <v>0</v>
      </c>
      <c r="T86" s="69"/>
      <c r="U86" s="69"/>
      <c r="V86" s="69"/>
      <c r="W86" s="69"/>
      <c r="X86" s="69"/>
      <c r="Y86" s="57"/>
      <c r="Z86" s="69"/>
      <c r="AA86" s="69"/>
      <c r="AB86" s="69"/>
      <c r="AC86" s="69"/>
      <c r="AD86" s="69"/>
      <c r="AE86" s="57"/>
      <c r="AF86" s="69"/>
      <c r="AG86" s="69"/>
      <c r="AH86" s="69"/>
      <c r="AI86" s="69"/>
      <c r="AJ86" s="69"/>
      <c r="AL86" s="63"/>
      <c r="AM86" s="63"/>
      <c r="AN86" s="63"/>
      <c r="AO86" s="63"/>
      <c r="AP86" s="69"/>
      <c r="AR86" s="75">
        <f t="shared" ref="AR86:AR87" si="96">B86+H86+N86+T86+AL86+AF86+Z86</f>
        <v>0</v>
      </c>
      <c r="AS86" s="75">
        <f t="shared" si="94"/>
        <v>0</v>
      </c>
      <c r="AT86" s="75">
        <f t="shared" si="94"/>
        <v>0</v>
      </c>
      <c r="AU86" s="75">
        <f t="shared" si="94"/>
        <v>0</v>
      </c>
      <c r="AV86" s="93">
        <f t="shared" ref="AV86:AV87" si="97">SUM(AR86:AU86)</f>
        <v>0</v>
      </c>
    </row>
    <row r="87" spans="1:48" x14ac:dyDescent="0.25">
      <c r="A87" s="22" t="s">
        <v>76</v>
      </c>
      <c r="B87" s="70"/>
      <c r="C87" s="70"/>
      <c r="D87" s="70"/>
      <c r="E87" s="70"/>
      <c r="F87" s="70"/>
      <c r="H87" s="70"/>
      <c r="I87" s="70"/>
      <c r="J87" s="70"/>
      <c r="K87" s="70"/>
      <c r="L87" s="70"/>
      <c r="N87" s="64"/>
      <c r="O87" s="64"/>
      <c r="P87" s="64"/>
      <c r="Q87" s="64">
        <v>0</v>
      </c>
      <c r="R87" s="75">
        <f t="shared" si="95"/>
        <v>0</v>
      </c>
      <c r="T87" s="70"/>
      <c r="U87" s="70"/>
      <c r="V87" s="70"/>
      <c r="W87" s="70"/>
      <c r="X87" s="70"/>
      <c r="Y87" s="57"/>
      <c r="Z87" s="70"/>
      <c r="AA87" s="70"/>
      <c r="AB87" s="70"/>
      <c r="AC87" s="70"/>
      <c r="AD87" s="70"/>
      <c r="AE87" s="57"/>
      <c r="AF87" s="70"/>
      <c r="AG87" s="70"/>
      <c r="AH87" s="70"/>
      <c r="AI87" s="70"/>
      <c r="AJ87" s="70"/>
      <c r="AL87" s="64"/>
      <c r="AM87" s="64"/>
      <c r="AN87" s="64"/>
      <c r="AO87" s="64"/>
      <c r="AP87" s="70"/>
      <c r="AR87" s="75">
        <f t="shared" si="96"/>
        <v>0</v>
      </c>
      <c r="AS87" s="75">
        <f t="shared" si="94"/>
        <v>0</v>
      </c>
      <c r="AT87" s="75">
        <f t="shared" si="94"/>
        <v>0</v>
      </c>
      <c r="AU87" s="75">
        <f t="shared" si="94"/>
        <v>0</v>
      </c>
      <c r="AV87" s="93">
        <f t="shared" si="97"/>
        <v>0</v>
      </c>
    </row>
    <row r="88" spans="1:48" x14ac:dyDescent="0.25">
      <c r="A88" s="24"/>
      <c r="B88" s="71">
        <f>SUM(B85:B87)</f>
        <v>0</v>
      </c>
      <c r="C88" s="71">
        <f t="shared" ref="C88:F88" si="98">SUM(C85:C87)</f>
        <v>0</v>
      </c>
      <c r="D88" s="71">
        <f t="shared" si="98"/>
        <v>0</v>
      </c>
      <c r="E88" s="71">
        <f t="shared" si="98"/>
        <v>0</v>
      </c>
      <c r="F88" s="71">
        <f t="shared" si="98"/>
        <v>0</v>
      </c>
      <c r="H88" s="71">
        <f>SUM(H85:H87)</f>
        <v>0</v>
      </c>
      <c r="I88" s="71">
        <f t="shared" ref="I88:L88" si="99">SUM(I85:I87)</f>
        <v>0</v>
      </c>
      <c r="J88" s="71">
        <f t="shared" si="99"/>
        <v>0</v>
      </c>
      <c r="K88" s="71">
        <f t="shared" si="99"/>
        <v>0</v>
      </c>
      <c r="L88" s="71">
        <f t="shared" si="99"/>
        <v>0</v>
      </c>
      <c r="N88" s="88">
        <f>SUM(N85:N87)</f>
        <v>0</v>
      </c>
      <c r="O88" s="88">
        <f t="shared" ref="O88:R88" si="100">SUM(O85:O87)</f>
        <v>0</v>
      </c>
      <c r="P88" s="88">
        <f t="shared" si="100"/>
        <v>0</v>
      </c>
      <c r="Q88" s="88">
        <f t="shared" si="100"/>
        <v>0</v>
      </c>
      <c r="R88" s="88">
        <f t="shared" si="100"/>
        <v>0</v>
      </c>
      <c r="T88" s="71">
        <f t="shared" ref="T88:W88" si="101">SUM(T85:T87)</f>
        <v>0</v>
      </c>
      <c r="U88" s="71">
        <f t="shared" si="101"/>
        <v>0</v>
      </c>
      <c r="V88" s="71">
        <f t="shared" si="101"/>
        <v>0</v>
      </c>
      <c r="W88" s="71">
        <f t="shared" si="101"/>
        <v>0</v>
      </c>
      <c r="X88" s="71">
        <f t="shared" ref="X88" si="102">SUM(X85:X87)</f>
        <v>0</v>
      </c>
      <c r="Y88" s="200"/>
      <c r="Z88" s="71">
        <f t="shared" ref="Z88:AD88" si="103">SUM(Z85:Z87)</f>
        <v>0</v>
      </c>
      <c r="AA88" s="71">
        <f t="shared" si="103"/>
        <v>0</v>
      </c>
      <c r="AB88" s="71">
        <f t="shared" si="103"/>
        <v>0</v>
      </c>
      <c r="AC88" s="71">
        <f t="shared" si="103"/>
        <v>0</v>
      </c>
      <c r="AD88" s="71">
        <f t="shared" si="103"/>
        <v>0</v>
      </c>
      <c r="AE88" s="200"/>
      <c r="AF88" s="71">
        <f t="shared" ref="AF88:AJ88" si="104">SUM(AF85:AF87)</f>
        <v>0</v>
      </c>
      <c r="AG88" s="71">
        <f t="shared" si="104"/>
        <v>0</v>
      </c>
      <c r="AH88" s="71">
        <f t="shared" si="104"/>
        <v>0</v>
      </c>
      <c r="AI88" s="71">
        <f t="shared" si="104"/>
        <v>0</v>
      </c>
      <c r="AJ88" s="71">
        <f t="shared" si="104"/>
        <v>0</v>
      </c>
      <c r="AL88" s="88">
        <f>SUM(AL85:AL87)</f>
        <v>0</v>
      </c>
      <c r="AM88" s="88">
        <f t="shared" ref="AM88:AO88" si="105">SUM(AM85:AM87)</f>
        <v>0</v>
      </c>
      <c r="AN88" s="88">
        <f t="shared" si="105"/>
        <v>0</v>
      </c>
      <c r="AO88" s="88">
        <f t="shared" si="105"/>
        <v>0</v>
      </c>
      <c r="AP88" s="71">
        <f t="shared" ref="AP88" si="106">SUM(AP85:AP87)</f>
        <v>0</v>
      </c>
      <c r="AR88" s="88">
        <f>SUM(AR85:AR87)</f>
        <v>0</v>
      </c>
      <c r="AS88" s="88">
        <f t="shared" ref="AS88:AV88" si="107">SUM(AS85:AS87)</f>
        <v>0</v>
      </c>
      <c r="AT88" s="88">
        <f t="shared" si="107"/>
        <v>0</v>
      </c>
      <c r="AU88" s="88">
        <f t="shared" si="107"/>
        <v>0</v>
      </c>
      <c r="AV88" s="71">
        <f t="shared" si="107"/>
        <v>0</v>
      </c>
    </row>
    <row r="89" spans="1:48" x14ac:dyDescent="0.25">
      <c r="B89" s="57"/>
      <c r="C89" s="57"/>
      <c r="D89" s="57"/>
      <c r="E89" s="57"/>
      <c r="F89" s="57"/>
      <c r="H89" s="57"/>
      <c r="I89" s="57"/>
      <c r="J89" s="57"/>
      <c r="K89" s="57"/>
      <c r="L89" s="57"/>
      <c r="N89" s="57"/>
      <c r="O89" s="57"/>
      <c r="P89" s="57"/>
      <c r="Q89" s="57"/>
      <c r="R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L89" s="57"/>
      <c r="AM89" s="57"/>
      <c r="AN89" s="57"/>
      <c r="AO89" s="57"/>
      <c r="AP89" s="57"/>
      <c r="AR89" s="57"/>
      <c r="AS89" s="57"/>
      <c r="AT89" s="57"/>
      <c r="AU89" s="57"/>
      <c r="AV89" s="57"/>
    </row>
    <row r="90" spans="1:48" ht="16.5" thickBot="1" x14ac:dyDescent="0.3">
      <c r="B90" s="57"/>
      <c r="C90" s="57"/>
      <c r="D90" s="57"/>
      <c r="E90" s="57"/>
      <c r="F90" s="57"/>
      <c r="H90" s="57"/>
      <c r="I90" s="57"/>
      <c r="J90" s="57"/>
      <c r="K90" s="57"/>
      <c r="L90" s="57"/>
      <c r="N90" s="57"/>
      <c r="O90" s="57"/>
      <c r="P90" s="57"/>
      <c r="Q90" s="57"/>
      <c r="R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L90" s="57"/>
      <c r="AM90" s="57"/>
      <c r="AN90" s="57"/>
      <c r="AO90" s="57"/>
      <c r="AP90" s="57"/>
      <c r="AR90" s="57"/>
      <c r="AS90" s="57"/>
      <c r="AT90" s="57"/>
      <c r="AU90" s="57"/>
      <c r="AV90" s="57"/>
    </row>
    <row r="91" spans="1:48" x14ac:dyDescent="0.25">
      <c r="A91" s="25"/>
      <c r="B91" s="72" t="s">
        <v>157</v>
      </c>
      <c r="C91" s="72" t="s">
        <v>158</v>
      </c>
      <c r="D91" s="72" t="s">
        <v>159</v>
      </c>
      <c r="E91" s="73" t="str">
        <f>E84</f>
        <v>Other</v>
      </c>
      <c r="F91" s="73" t="str">
        <f>F84</f>
        <v>FY28- Mtn</v>
      </c>
      <c r="H91" s="72" t="s">
        <v>157</v>
      </c>
      <c r="I91" s="72" t="s">
        <v>158</v>
      </c>
      <c r="J91" s="72" t="s">
        <v>159</v>
      </c>
      <c r="K91" s="73" t="str">
        <f>K84</f>
        <v>Other</v>
      </c>
      <c r="L91" s="73" t="str">
        <f>L84</f>
        <v>FY28- Bon</v>
      </c>
      <c r="N91" s="72" t="s">
        <v>157</v>
      </c>
      <c r="O91" s="72" t="s">
        <v>158</v>
      </c>
      <c r="P91" s="72" t="s">
        <v>159</v>
      </c>
      <c r="Q91" s="73" t="str">
        <f>Q84</f>
        <v>Other</v>
      </c>
      <c r="R91" s="73" t="str">
        <f>R84</f>
        <v>FY28- East</v>
      </c>
      <c r="T91" s="72" t="s">
        <v>157</v>
      </c>
      <c r="U91" s="72" t="s">
        <v>158</v>
      </c>
      <c r="V91" s="72" t="s">
        <v>159</v>
      </c>
      <c r="W91" s="73" t="str">
        <f>W84</f>
        <v>Other</v>
      </c>
      <c r="X91" s="73" t="str">
        <f>X84</f>
        <v>FY28- Cactus</v>
      </c>
      <c r="Y91" s="198"/>
      <c r="Z91" s="72" t="s">
        <v>157</v>
      </c>
      <c r="AA91" s="72" t="s">
        <v>158</v>
      </c>
      <c r="AB91" s="72" t="s">
        <v>159</v>
      </c>
      <c r="AC91" s="73" t="str">
        <f>AC84</f>
        <v>Other</v>
      </c>
      <c r="AD91" s="73" t="str">
        <f>AD84</f>
        <v>FY28- Sahara</v>
      </c>
      <c r="AE91" s="198"/>
      <c r="AF91" s="72" t="s">
        <v>157</v>
      </c>
      <c r="AG91" s="72" t="s">
        <v>158</v>
      </c>
      <c r="AH91" s="72" t="s">
        <v>159</v>
      </c>
      <c r="AI91" s="73" t="str">
        <f>AI84</f>
        <v>Other</v>
      </c>
      <c r="AJ91" s="73" t="str">
        <f>AJ84</f>
        <v>FY27- VV</v>
      </c>
      <c r="AL91" s="72" t="s">
        <v>157</v>
      </c>
      <c r="AM91" s="72" t="s">
        <v>158</v>
      </c>
      <c r="AN91" s="72" t="s">
        <v>159</v>
      </c>
      <c r="AO91" s="73" t="str">
        <f>AO84</f>
        <v>Grant</v>
      </c>
      <c r="AP91" s="73" t="str">
        <f>AP84</f>
        <v>FY28 - Central</v>
      </c>
      <c r="AR91" s="72" t="s">
        <v>157</v>
      </c>
      <c r="AS91" s="72" t="s">
        <v>158</v>
      </c>
      <c r="AT91" s="72" t="s">
        <v>159</v>
      </c>
      <c r="AU91" s="73" t="str">
        <f>AU84</f>
        <v>Other</v>
      </c>
      <c r="AV91" s="73" t="str">
        <f>AV84</f>
        <v>FY28- Sys</v>
      </c>
    </row>
    <row r="92" spans="1:48" x14ac:dyDescent="0.25">
      <c r="A92" s="26"/>
      <c r="B92" s="74"/>
      <c r="C92" s="74"/>
      <c r="D92" s="74"/>
      <c r="E92" s="74"/>
      <c r="F92" s="74"/>
      <c r="H92" s="74"/>
      <c r="I92" s="74"/>
      <c r="J92" s="74"/>
      <c r="K92" s="74"/>
      <c r="L92" s="74"/>
      <c r="N92" s="74"/>
      <c r="O92" s="74"/>
      <c r="P92" s="74"/>
      <c r="Q92" s="74"/>
      <c r="R92" s="74"/>
      <c r="T92" s="74"/>
      <c r="U92" s="74"/>
      <c r="V92" s="74"/>
      <c r="W92" s="74"/>
      <c r="X92" s="74"/>
      <c r="Y92" s="57"/>
      <c r="Z92" s="74"/>
      <c r="AA92" s="74"/>
      <c r="AB92" s="74"/>
      <c r="AC92" s="74"/>
      <c r="AD92" s="74"/>
      <c r="AE92" s="57"/>
      <c r="AF92" s="74"/>
      <c r="AG92" s="74"/>
      <c r="AH92" s="74"/>
      <c r="AI92" s="74"/>
      <c r="AJ92" s="74"/>
      <c r="AL92" s="74"/>
      <c r="AM92" s="74"/>
      <c r="AN92" s="74"/>
      <c r="AO92" s="74"/>
      <c r="AP92" s="74"/>
      <c r="AR92" s="74"/>
      <c r="AS92" s="74"/>
      <c r="AT92" s="74"/>
      <c r="AU92" s="74"/>
      <c r="AV92" s="74"/>
    </row>
    <row r="93" spans="1:48" x14ac:dyDescent="0.25">
      <c r="A93" s="20" t="s">
        <v>34</v>
      </c>
      <c r="B93" s="75">
        <f>170100*1.01*1.01</f>
        <v>173519.01</v>
      </c>
      <c r="C93" s="75"/>
      <c r="D93" s="75"/>
      <c r="E93" s="75"/>
      <c r="F93" s="75">
        <f>SUM(B93:E93)</f>
        <v>173519.01</v>
      </c>
      <c r="H93" s="75">
        <f>170100*1.01*1.01</f>
        <v>173519.01</v>
      </c>
      <c r="I93" s="75"/>
      <c r="J93" s="75"/>
      <c r="K93" s="75"/>
      <c r="L93" s="75">
        <f>SUM(H93:K93)</f>
        <v>173519.01</v>
      </c>
      <c r="N93" s="75">
        <f>225750*1.01*1.01</f>
        <v>230287.57500000001</v>
      </c>
      <c r="O93" s="75"/>
      <c r="P93" s="75"/>
      <c r="Q93" s="75"/>
      <c r="R93" s="75">
        <f>SUM(N93:Q93)</f>
        <v>230287.57500000001</v>
      </c>
      <c r="T93" s="75">
        <f>125000*1.01*1.01</f>
        <v>127512.5</v>
      </c>
      <c r="U93" s="75"/>
      <c r="V93" s="75"/>
      <c r="W93" s="75"/>
      <c r="X93" s="75">
        <f>SUM(T93:W93)</f>
        <v>127512.5</v>
      </c>
      <c r="Y93" s="194"/>
      <c r="Z93" s="75">
        <f>135000*1.01</f>
        <v>136350</v>
      </c>
      <c r="AA93" s="75"/>
      <c r="AB93" s="75"/>
      <c r="AC93" s="75"/>
      <c r="AD93" s="75">
        <f>SUM(Z93:AC93)</f>
        <v>136350</v>
      </c>
      <c r="AE93" s="194"/>
      <c r="AF93" s="75">
        <v>140000</v>
      </c>
      <c r="AG93" s="75"/>
      <c r="AH93" s="75"/>
      <c r="AI93" s="75"/>
      <c r="AJ93" s="75">
        <f>SUM(AF93:AI93)</f>
        <v>140000</v>
      </c>
      <c r="AL93" s="75"/>
      <c r="AM93" s="75"/>
      <c r="AN93" s="75"/>
      <c r="AO93" s="75"/>
      <c r="AP93" s="75">
        <f>SUM(AL93:AO93)</f>
        <v>0</v>
      </c>
      <c r="AR93" s="75">
        <f>B93+H93+N93+T93+AL93+AF93+Z93</f>
        <v>981188.09499999997</v>
      </c>
      <c r="AS93" s="75">
        <f t="shared" ref="AS93:AU108" si="108">C93+I93+O93+U93+AM93+AG93+AA93</f>
        <v>0</v>
      </c>
      <c r="AT93" s="75">
        <f t="shared" si="108"/>
        <v>0</v>
      </c>
      <c r="AU93" s="75">
        <f t="shared" si="108"/>
        <v>0</v>
      </c>
      <c r="AV93" s="75">
        <f>SUM(AR93:AU93)</f>
        <v>981188.09499999997</v>
      </c>
    </row>
    <row r="94" spans="1:48" x14ac:dyDescent="0.25">
      <c r="A94" s="21" t="s">
        <v>77</v>
      </c>
      <c r="B94" s="63">
        <f>(105000+87550)*1.03*1.01*1.01</f>
        <v>202312.86265000002</v>
      </c>
      <c r="C94" s="63"/>
      <c r="D94" s="63"/>
      <c r="E94" s="63"/>
      <c r="F94" s="75">
        <f t="shared" ref="F94:F108" si="109">SUM(B94:E94)</f>
        <v>202312.86265000002</v>
      </c>
      <c r="H94" s="63">
        <f>((98000+90000+95000)+85000)*1.03*1.01*1.01</f>
        <v>386658.70400000003</v>
      </c>
      <c r="I94" s="63"/>
      <c r="J94" s="63"/>
      <c r="K94" s="63"/>
      <c r="L94" s="75">
        <f t="shared" ref="L94:L108" si="110">SUM(H94:K94)</f>
        <v>386658.70400000003</v>
      </c>
      <c r="N94" s="63">
        <f>(105000+105000+105000+110000+83000)*1.03*1.01*1.01</f>
        <v>533757.12400000007</v>
      </c>
      <c r="O94" s="63"/>
      <c r="P94" s="63"/>
      <c r="Q94" s="63"/>
      <c r="R94" s="75">
        <f t="shared" ref="R94:R108" si="111">SUM(N94:Q94)</f>
        <v>533757.12400000007</v>
      </c>
      <c r="T94" s="63">
        <v>0</v>
      </c>
      <c r="U94" s="63"/>
      <c r="V94" s="63"/>
      <c r="W94" s="63"/>
      <c r="X94" s="75">
        <f t="shared" ref="X94:X108" si="112">SUM(T94:W94)</f>
        <v>0</v>
      </c>
      <c r="Y94" s="194"/>
      <c r="Z94" s="63">
        <v>100000</v>
      </c>
      <c r="AA94" s="63"/>
      <c r="AB94" s="63"/>
      <c r="AC94" s="63"/>
      <c r="AD94" s="75">
        <f t="shared" ref="AD94:AD108" si="113">SUM(Z94:AC94)</f>
        <v>100000</v>
      </c>
      <c r="AE94" s="194"/>
      <c r="AF94" s="63">
        <f>90000*AF40</f>
        <v>90000</v>
      </c>
      <c r="AG94" s="63"/>
      <c r="AH94" s="63"/>
      <c r="AI94" s="63"/>
      <c r="AJ94" s="75">
        <f t="shared" ref="AJ94:AJ108" si="114">SUM(AF94:AI94)</f>
        <v>90000</v>
      </c>
      <c r="AL94" s="63"/>
      <c r="AM94" s="63">
        <f>118450*1.01*1.01</f>
        <v>120830.845</v>
      </c>
      <c r="AN94" s="63"/>
      <c r="AO94" s="63"/>
      <c r="AP94" s="75">
        <f t="shared" ref="AP94:AP108" si="115">SUM(AL94:AO94)</f>
        <v>120830.845</v>
      </c>
      <c r="AR94" s="75">
        <f t="shared" ref="AR94:AR108" si="116">B94+H94+N94+T94+AL94+AF94+Z94</f>
        <v>1312728.6906500002</v>
      </c>
      <c r="AS94" s="75">
        <f t="shared" si="108"/>
        <v>120830.845</v>
      </c>
      <c r="AT94" s="75">
        <f t="shared" si="108"/>
        <v>0</v>
      </c>
      <c r="AU94" s="75">
        <f t="shared" si="108"/>
        <v>0</v>
      </c>
      <c r="AV94" s="75">
        <f t="shared" ref="AV94:AV108" si="117">SUM(AR94:AU94)</f>
        <v>1433559.5356500002</v>
      </c>
    </row>
    <row r="95" spans="1:48" x14ac:dyDescent="0.25">
      <c r="A95" s="21" t="s">
        <v>39</v>
      </c>
      <c r="B95" s="63">
        <f>(70000+88000)*1.01*1.01</f>
        <v>161175.79999999999</v>
      </c>
      <c r="C95" s="63"/>
      <c r="D95" s="63"/>
      <c r="E95" s="63"/>
      <c r="F95" s="75">
        <f t="shared" si="109"/>
        <v>161175.79999999999</v>
      </c>
      <c r="H95" s="63">
        <f>(71000+65000)*1.01*1.01</f>
        <v>138733.6</v>
      </c>
      <c r="I95" s="63"/>
      <c r="J95" s="63"/>
      <c r="K95" s="63"/>
      <c r="L95" s="75">
        <f t="shared" si="110"/>
        <v>138733.6</v>
      </c>
      <c r="N95" s="63">
        <f>(80350*N44)*1.01*1.01</f>
        <v>409825.17499999999</v>
      </c>
      <c r="O95" s="63"/>
      <c r="P95" s="63"/>
      <c r="Q95" s="63"/>
      <c r="R95" s="75">
        <f t="shared" si="111"/>
        <v>409825.17499999999</v>
      </c>
      <c r="T95" s="63"/>
      <c r="U95" s="63"/>
      <c r="V95" s="63"/>
      <c r="W95" s="63"/>
      <c r="X95" s="75">
        <f t="shared" si="112"/>
        <v>0</v>
      </c>
      <c r="Y95" s="194"/>
      <c r="Z95" s="63"/>
      <c r="AA95" s="63"/>
      <c r="AB95" s="63"/>
      <c r="AC95" s="63"/>
      <c r="AD95" s="75">
        <f t="shared" si="113"/>
        <v>0</v>
      </c>
      <c r="AE95" s="194"/>
      <c r="AF95" s="63"/>
      <c r="AG95" s="63"/>
      <c r="AH95" s="63"/>
      <c r="AI95" s="63"/>
      <c r="AJ95" s="75">
        <f t="shared" si="114"/>
        <v>0</v>
      </c>
      <c r="AL95" s="63"/>
      <c r="AM95" s="63"/>
      <c r="AN95" s="63"/>
      <c r="AO95" s="63">
        <v>200000</v>
      </c>
      <c r="AP95" s="75">
        <f t="shared" si="115"/>
        <v>200000</v>
      </c>
      <c r="AR95" s="75">
        <f t="shared" si="116"/>
        <v>709734.57499999995</v>
      </c>
      <c r="AS95" s="75">
        <f t="shared" si="108"/>
        <v>0</v>
      </c>
      <c r="AT95" s="75">
        <f t="shared" si="108"/>
        <v>0</v>
      </c>
      <c r="AU95" s="75">
        <f t="shared" si="108"/>
        <v>200000</v>
      </c>
      <c r="AV95" s="75">
        <f t="shared" si="117"/>
        <v>909734.57499999995</v>
      </c>
    </row>
    <row r="96" spans="1:48" x14ac:dyDescent="0.25">
      <c r="A96" s="21" t="s">
        <v>78</v>
      </c>
      <c r="B96" s="63">
        <f>(75000+43000)*1.01*1.01</f>
        <v>120371.8</v>
      </c>
      <c r="C96" s="63"/>
      <c r="D96" s="63"/>
      <c r="E96" s="63"/>
      <c r="F96" s="75">
        <f t="shared" si="109"/>
        <v>120371.8</v>
      </c>
      <c r="H96" s="63">
        <f>(60000+75000)*1.01*1.01</f>
        <v>137713.5</v>
      </c>
      <c r="I96" s="63"/>
      <c r="J96" s="63"/>
      <c r="K96" s="63"/>
      <c r="L96" s="75">
        <f t="shared" si="110"/>
        <v>137713.5</v>
      </c>
      <c r="N96" s="63"/>
      <c r="O96" s="63"/>
      <c r="P96" s="63"/>
      <c r="Q96" s="63"/>
      <c r="R96" s="75">
        <f t="shared" si="111"/>
        <v>0</v>
      </c>
      <c r="T96" s="63"/>
      <c r="U96" s="63"/>
      <c r="V96" s="63"/>
      <c r="W96" s="63"/>
      <c r="X96" s="75">
        <f t="shared" si="112"/>
        <v>0</v>
      </c>
      <c r="Y96" s="194"/>
      <c r="Z96" s="63"/>
      <c r="AA96" s="63"/>
      <c r="AB96" s="63"/>
      <c r="AC96" s="63"/>
      <c r="AD96" s="75">
        <f t="shared" si="113"/>
        <v>0</v>
      </c>
      <c r="AE96" s="194"/>
      <c r="AF96" s="63"/>
      <c r="AG96" s="63"/>
      <c r="AH96" s="63"/>
      <c r="AI96" s="63"/>
      <c r="AJ96" s="75">
        <f t="shared" si="114"/>
        <v>0</v>
      </c>
      <c r="AL96" s="63">
        <f>72100*1.01*1.01</f>
        <v>73549.210000000006</v>
      </c>
      <c r="AM96" s="63"/>
      <c r="AN96" s="63"/>
      <c r="AO96" s="63"/>
      <c r="AP96" s="75">
        <f t="shared" si="115"/>
        <v>73549.210000000006</v>
      </c>
      <c r="AR96" s="75">
        <f t="shared" si="116"/>
        <v>331634.51</v>
      </c>
      <c r="AS96" s="75">
        <f t="shared" si="108"/>
        <v>0</v>
      </c>
      <c r="AT96" s="75">
        <f t="shared" si="108"/>
        <v>0</v>
      </c>
      <c r="AU96" s="75">
        <f t="shared" si="108"/>
        <v>0</v>
      </c>
      <c r="AV96" s="75">
        <f t="shared" si="117"/>
        <v>331634.51</v>
      </c>
    </row>
    <row r="97" spans="1:48" x14ac:dyDescent="0.25">
      <c r="A97" s="21" t="s">
        <v>79</v>
      </c>
      <c r="B97" s="63">
        <v>0</v>
      </c>
      <c r="C97" s="63"/>
      <c r="D97" s="63"/>
      <c r="E97" s="63"/>
      <c r="F97" s="75">
        <f t="shared" si="109"/>
        <v>0</v>
      </c>
      <c r="H97" s="63"/>
      <c r="I97" s="63"/>
      <c r="J97" s="63"/>
      <c r="K97" s="63"/>
      <c r="L97" s="75">
        <f t="shared" si="110"/>
        <v>0</v>
      </c>
      <c r="N97" s="63"/>
      <c r="O97" s="63"/>
      <c r="P97" s="63"/>
      <c r="Q97" s="63"/>
      <c r="R97" s="75">
        <f t="shared" si="111"/>
        <v>0</v>
      </c>
      <c r="T97" s="63"/>
      <c r="U97" s="63"/>
      <c r="V97" s="63"/>
      <c r="W97" s="63"/>
      <c r="X97" s="75">
        <f t="shared" si="112"/>
        <v>0</v>
      </c>
      <c r="Y97" s="194"/>
      <c r="Z97" s="63"/>
      <c r="AA97" s="63"/>
      <c r="AB97" s="63"/>
      <c r="AC97" s="63"/>
      <c r="AD97" s="75">
        <f t="shared" si="113"/>
        <v>0</v>
      </c>
      <c r="AE97" s="194"/>
      <c r="AF97" s="63"/>
      <c r="AG97" s="63"/>
      <c r="AH97" s="63"/>
      <c r="AI97" s="63"/>
      <c r="AJ97" s="75">
        <f t="shared" si="114"/>
        <v>0</v>
      </c>
      <c r="AL97" s="63"/>
      <c r="AM97" s="63"/>
      <c r="AN97" s="63"/>
      <c r="AO97" s="63"/>
      <c r="AP97" s="75">
        <f t="shared" si="115"/>
        <v>0</v>
      </c>
      <c r="AR97" s="75">
        <f t="shared" si="116"/>
        <v>0</v>
      </c>
      <c r="AS97" s="75">
        <f t="shared" si="108"/>
        <v>0</v>
      </c>
      <c r="AT97" s="75">
        <f t="shared" si="108"/>
        <v>0</v>
      </c>
      <c r="AU97" s="75">
        <f t="shared" si="108"/>
        <v>0</v>
      </c>
      <c r="AV97" s="75">
        <f t="shared" si="117"/>
        <v>0</v>
      </c>
    </row>
    <row r="98" spans="1:48" x14ac:dyDescent="0.25">
      <c r="A98" s="21" t="s">
        <v>80</v>
      </c>
      <c r="B98" s="63">
        <f>(70000+62000+52000+40000)*1.01*1.01</f>
        <v>228502.39999999999</v>
      </c>
      <c r="C98" s="63"/>
      <c r="D98" s="63"/>
      <c r="E98" s="63"/>
      <c r="F98" s="75">
        <f t="shared" si="109"/>
        <v>228502.39999999999</v>
      </c>
      <c r="H98" s="63">
        <f>(81000+61800+51500+58500)*1.01*1.01</f>
        <v>257881.28</v>
      </c>
      <c r="I98" s="63"/>
      <c r="J98" s="63"/>
      <c r="K98" s="63"/>
      <c r="L98" s="75">
        <f t="shared" si="110"/>
        <v>257881.28</v>
      </c>
      <c r="N98" s="63">
        <f>((86000+44000+60000+55000)+60000)*1.01*1.01</f>
        <v>311130.5</v>
      </c>
      <c r="O98" s="63"/>
      <c r="P98" s="63"/>
      <c r="Q98" s="63"/>
      <c r="R98" s="75">
        <f t="shared" si="111"/>
        <v>311130.5</v>
      </c>
      <c r="T98" s="63">
        <f>52000*1.01*1.01</f>
        <v>53045.2</v>
      </c>
      <c r="U98" s="63"/>
      <c r="V98" s="63"/>
      <c r="W98" s="63"/>
      <c r="X98" s="75">
        <f t="shared" si="112"/>
        <v>53045.2</v>
      </c>
      <c r="Y98" s="194"/>
      <c r="Z98" s="63">
        <f>(55000+50000)*1.01</f>
        <v>106050</v>
      </c>
      <c r="AA98" s="63"/>
      <c r="AB98" s="63"/>
      <c r="AC98" s="63"/>
      <c r="AD98" s="75">
        <f t="shared" si="113"/>
        <v>106050</v>
      </c>
      <c r="AE98" s="194"/>
      <c r="AF98" s="63">
        <f>55000+50000</f>
        <v>105000</v>
      </c>
      <c r="AG98" s="63"/>
      <c r="AH98" s="63"/>
      <c r="AI98" s="63"/>
      <c r="AJ98" s="75">
        <f t="shared" si="114"/>
        <v>105000</v>
      </c>
      <c r="AL98" s="63">
        <f>87500*1.01*1.01</f>
        <v>89258.75</v>
      </c>
      <c r="AM98" s="63"/>
      <c r="AN98" s="63"/>
      <c r="AO98" s="63"/>
      <c r="AP98" s="75">
        <f t="shared" si="115"/>
        <v>89258.75</v>
      </c>
      <c r="AR98" s="75">
        <f t="shared" si="116"/>
        <v>1150868.1299999999</v>
      </c>
      <c r="AS98" s="75">
        <f t="shared" si="108"/>
        <v>0</v>
      </c>
      <c r="AT98" s="75">
        <f t="shared" si="108"/>
        <v>0</v>
      </c>
      <c r="AU98" s="75">
        <f t="shared" si="108"/>
        <v>0</v>
      </c>
      <c r="AV98" s="75">
        <f t="shared" si="117"/>
        <v>1150868.1299999999</v>
      </c>
    </row>
    <row r="99" spans="1:48" x14ac:dyDescent="0.25">
      <c r="A99" s="21" t="s">
        <v>81</v>
      </c>
      <c r="B99" s="63">
        <f>(24.5*8*190)*(B48+B49)+1300</f>
        <v>113020</v>
      </c>
      <c r="C99" s="63"/>
      <c r="D99" s="63"/>
      <c r="E99" s="63"/>
      <c r="F99" s="75">
        <f t="shared" si="109"/>
        <v>113020</v>
      </c>
      <c r="H99" s="63">
        <f>(24.5*8*190)*(H48+H49)</f>
        <v>111720</v>
      </c>
      <c r="I99" s="63"/>
      <c r="J99" s="63"/>
      <c r="K99" s="63"/>
      <c r="L99" s="75">
        <f t="shared" si="110"/>
        <v>111720</v>
      </c>
      <c r="N99" s="63">
        <f>(21.5*8*190)*(N48+N49)+(61800)*1.01*1.01</f>
        <v>291802.18</v>
      </c>
      <c r="O99" s="63"/>
      <c r="P99" s="63"/>
      <c r="Q99" s="63"/>
      <c r="R99" s="75">
        <f t="shared" si="111"/>
        <v>291802.18</v>
      </c>
      <c r="T99" s="63">
        <f>40000*1.01*1.01</f>
        <v>40804</v>
      </c>
      <c r="U99" s="63"/>
      <c r="V99" s="63"/>
      <c r="W99" s="63"/>
      <c r="X99" s="75">
        <f t="shared" si="112"/>
        <v>40804</v>
      </c>
      <c r="Y99" s="194"/>
      <c r="Z99" s="63">
        <f>(21.25*8*190)*(Z48+Z49)</f>
        <v>64600</v>
      </c>
      <c r="AA99" s="63"/>
      <c r="AB99" s="63"/>
      <c r="AC99" s="63"/>
      <c r="AD99" s="75">
        <f t="shared" si="113"/>
        <v>64600</v>
      </c>
      <c r="AE99" s="194"/>
      <c r="AF99" s="63">
        <f>(21*8*190)*(AF48+AF49)</f>
        <v>63840</v>
      </c>
      <c r="AG99" s="63"/>
      <c r="AH99" s="63"/>
      <c r="AI99" s="63"/>
      <c r="AJ99" s="75">
        <f t="shared" si="114"/>
        <v>63840</v>
      </c>
      <c r="AL99" s="63"/>
      <c r="AM99" s="63"/>
      <c r="AN99" s="63"/>
      <c r="AO99" s="63"/>
      <c r="AP99" s="75">
        <f t="shared" si="115"/>
        <v>0</v>
      </c>
      <c r="AR99" s="75">
        <f t="shared" si="116"/>
        <v>685786.17999999993</v>
      </c>
      <c r="AS99" s="75">
        <f t="shared" si="108"/>
        <v>0</v>
      </c>
      <c r="AT99" s="75">
        <f t="shared" si="108"/>
        <v>0</v>
      </c>
      <c r="AU99" s="75">
        <f t="shared" si="108"/>
        <v>0</v>
      </c>
      <c r="AV99" s="75">
        <f t="shared" si="117"/>
        <v>685786.17999999993</v>
      </c>
    </row>
    <row r="100" spans="1:48" x14ac:dyDescent="0.25">
      <c r="A100" s="21" t="s">
        <v>82</v>
      </c>
      <c r="B100" s="63"/>
      <c r="C100" s="63"/>
      <c r="D100" s="63"/>
      <c r="E100" s="63"/>
      <c r="F100" s="75">
        <f t="shared" si="109"/>
        <v>0</v>
      </c>
      <c r="H100" s="63"/>
      <c r="I100" s="63"/>
      <c r="J100" s="63"/>
      <c r="K100" s="63"/>
      <c r="L100" s="75">
        <f t="shared" si="110"/>
        <v>0</v>
      </c>
      <c r="N100" s="63">
        <f>50000*1.01*1.01</f>
        <v>51005</v>
      </c>
      <c r="O100" s="63"/>
      <c r="P100" s="63"/>
      <c r="Q100" s="63"/>
      <c r="R100" s="75">
        <f t="shared" si="111"/>
        <v>51005</v>
      </c>
      <c r="T100" s="63"/>
      <c r="U100" s="63"/>
      <c r="V100" s="63"/>
      <c r="W100" s="63"/>
      <c r="X100" s="75">
        <f t="shared" si="112"/>
        <v>0</v>
      </c>
      <c r="Y100" s="194"/>
      <c r="Z100" s="63"/>
      <c r="AA100" s="63"/>
      <c r="AB100" s="63"/>
      <c r="AC100" s="63"/>
      <c r="AD100" s="75">
        <f t="shared" si="113"/>
        <v>0</v>
      </c>
      <c r="AE100" s="194"/>
      <c r="AF100" s="63"/>
      <c r="AG100" s="63"/>
      <c r="AH100" s="63"/>
      <c r="AI100" s="63"/>
      <c r="AJ100" s="75">
        <f t="shared" si="114"/>
        <v>0</v>
      </c>
      <c r="AL100" s="63"/>
      <c r="AM100" s="63"/>
      <c r="AN100" s="63"/>
      <c r="AO100" s="63"/>
      <c r="AP100" s="75">
        <f t="shared" si="115"/>
        <v>0</v>
      </c>
      <c r="AR100" s="75">
        <f t="shared" si="116"/>
        <v>51005</v>
      </c>
      <c r="AS100" s="75">
        <f t="shared" si="108"/>
        <v>0</v>
      </c>
      <c r="AT100" s="75">
        <f t="shared" si="108"/>
        <v>0</v>
      </c>
      <c r="AU100" s="75">
        <f t="shared" si="108"/>
        <v>0</v>
      </c>
      <c r="AV100" s="75">
        <f t="shared" si="117"/>
        <v>51005</v>
      </c>
    </row>
    <row r="101" spans="1:48" x14ac:dyDescent="0.25">
      <c r="A101" s="21" t="s">
        <v>83</v>
      </c>
      <c r="B101" s="63">
        <f>(21.5*8*240)*B51</f>
        <v>165120</v>
      </c>
      <c r="C101" s="63"/>
      <c r="D101" s="63"/>
      <c r="E101" s="63"/>
      <c r="F101" s="75">
        <f t="shared" si="109"/>
        <v>165120</v>
      </c>
      <c r="H101" s="63">
        <f>(21.5*8*240)*H51</f>
        <v>123840</v>
      </c>
      <c r="I101" s="63"/>
      <c r="J101" s="63"/>
      <c r="K101" s="63"/>
      <c r="L101" s="75">
        <f t="shared" si="110"/>
        <v>123840</v>
      </c>
      <c r="N101" s="63">
        <f>(21.5*8*240)*(N51-2)+(47500+61800)*1.01*1.01</f>
        <v>524296.93000000005</v>
      </c>
      <c r="O101" s="63"/>
      <c r="P101" s="63"/>
      <c r="Q101" s="63"/>
      <c r="R101" s="75">
        <f t="shared" si="111"/>
        <v>524296.93000000005</v>
      </c>
      <c r="T101" s="63">
        <f>20.5*8*60+(20.5*5*180)</f>
        <v>28290</v>
      </c>
      <c r="U101" s="63"/>
      <c r="V101" s="63">
        <f>20.5*3*180</f>
        <v>11070</v>
      </c>
      <c r="W101" s="63"/>
      <c r="X101" s="75">
        <f t="shared" si="112"/>
        <v>39360</v>
      </c>
      <c r="Y101" s="194"/>
      <c r="Z101" s="63">
        <f>(21.5*8*240)*Z51</f>
        <v>82560</v>
      </c>
      <c r="AA101" s="63"/>
      <c r="AB101" s="63">
        <v>0</v>
      </c>
      <c r="AC101" s="63"/>
      <c r="AD101" s="75">
        <f t="shared" si="113"/>
        <v>82560</v>
      </c>
      <c r="AE101" s="194"/>
      <c r="AF101" s="63">
        <f>(23*8*240)*AF51</f>
        <v>88320</v>
      </c>
      <c r="AG101" s="63"/>
      <c r="AH101" s="63">
        <f>(20*8*185)*AH50</f>
        <v>59200</v>
      </c>
      <c r="AI101" s="63"/>
      <c r="AJ101" s="75">
        <f t="shared" si="114"/>
        <v>147520</v>
      </c>
      <c r="AL101" s="63">
        <f>80500*1.01*1.01</f>
        <v>82118.05</v>
      </c>
      <c r="AM101" s="63"/>
      <c r="AN101" s="63"/>
      <c r="AO101" s="63"/>
      <c r="AP101" s="75">
        <f t="shared" si="115"/>
        <v>82118.05</v>
      </c>
      <c r="AR101" s="75">
        <f t="shared" si="116"/>
        <v>1094544.98</v>
      </c>
      <c r="AS101" s="75">
        <f t="shared" si="108"/>
        <v>0</v>
      </c>
      <c r="AT101" s="75">
        <f t="shared" si="108"/>
        <v>70270</v>
      </c>
      <c r="AU101" s="75">
        <f t="shared" si="108"/>
        <v>0</v>
      </c>
      <c r="AV101" s="75">
        <f t="shared" si="117"/>
        <v>1164814.98</v>
      </c>
    </row>
    <row r="102" spans="1:48" x14ac:dyDescent="0.25">
      <c r="A102" s="21" t="s">
        <v>84</v>
      </c>
      <c r="B102" s="63"/>
      <c r="C102" s="63"/>
      <c r="D102" s="63">
        <f>(21.5*8*180*2)+(29.5*8*180)</f>
        <v>104400</v>
      </c>
      <c r="E102" s="63"/>
      <c r="F102" s="75">
        <f t="shared" si="109"/>
        <v>104400</v>
      </c>
      <c r="H102" s="63"/>
      <c r="I102" s="63"/>
      <c r="J102" s="63">
        <f>(21.5*8*180*2)+(29.25*8*180)</f>
        <v>104040</v>
      </c>
      <c r="K102" s="63"/>
      <c r="L102" s="75">
        <f t="shared" si="110"/>
        <v>104040</v>
      </c>
      <c r="N102" s="63"/>
      <c r="O102" s="63"/>
      <c r="P102" s="63">
        <f>(21.5*8*180*8)+(36.5*8*180)</f>
        <v>300240</v>
      </c>
      <c r="Q102" s="63"/>
      <c r="R102" s="75">
        <f t="shared" si="111"/>
        <v>300240</v>
      </c>
      <c r="T102" s="63"/>
      <c r="U102" s="63"/>
      <c r="V102" s="63"/>
      <c r="W102" s="63"/>
      <c r="X102" s="75">
        <f t="shared" si="112"/>
        <v>0</v>
      </c>
      <c r="Y102" s="194"/>
      <c r="Z102" s="63"/>
      <c r="AA102" s="63"/>
      <c r="AB102" s="63"/>
      <c r="AC102" s="63"/>
      <c r="AD102" s="75">
        <f t="shared" si="113"/>
        <v>0</v>
      </c>
      <c r="AE102" s="194"/>
      <c r="AF102" s="63"/>
      <c r="AG102" s="63"/>
      <c r="AH102" s="63"/>
      <c r="AI102" s="63"/>
      <c r="AJ102" s="75">
        <f t="shared" si="114"/>
        <v>0</v>
      </c>
      <c r="AL102" s="63"/>
      <c r="AM102" s="63"/>
      <c r="AN102" s="63">
        <f>64375*1.015*1.01</f>
        <v>65994.03125</v>
      </c>
      <c r="AO102" s="63"/>
      <c r="AP102" s="75">
        <f t="shared" si="115"/>
        <v>65994.03125</v>
      </c>
      <c r="AR102" s="75">
        <f t="shared" si="116"/>
        <v>0</v>
      </c>
      <c r="AS102" s="75">
        <f t="shared" si="108"/>
        <v>0</v>
      </c>
      <c r="AT102" s="75">
        <f t="shared" si="108"/>
        <v>574674.03125</v>
      </c>
      <c r="AU102" s="75">
        <f t="shared" si="108"/>
        <v>0</v>
      </c>
      <c r="AV102" s="75">
        <f t="shared" si="117"/>
        <v>574674.03125</v>
      </c>
    </row>
    <row r="103" spans="1:48" x14ac:dyDescent="0.25">
      <c r="A103" s="21" t="s">
        <v>85</v>
      </c>
      <c r="B103" s="63"/>
      <c r="C103" s="63"/>
      <c r="D103" s="63"/>
      <c r="E103" s="63"/>
      <c r="F103" s="75">
        <f t="shared" si="109"/>
        <v>0</v>
      </c>
      <c r="H103" s="63"/>
      <c r="I103" s="63"/>
      <c r="J103" s="63"/>
      <c r="K103" s="63"/>
      <c r="L103" s="75">
        <f t="shared" si="110"/>
        <v>0</v>
      </c>
      <c r="N103" s="63"/>
      <c r="O103" s="63"/>
      <c r="P103" s="63"/>
      <c r="Q103" s="63"/>
      <c r="R103" s="75">
        <f t="shared" si="111"/>
        <v>0</v>
      </c>
      <c r="T103" s="63"/>
      <c r="U103" s="63"/>
      <c r="V103" s="63"/>
      <c r="W103" s="63"/>
      <c r="X103" s="75">
        <f t="shared" si="112"/>
        <v>0</v>
      </c>
      <c r="Y103" s="194"/>
      <c r="Z103" s="63"/>
      <c r="AA103" s="63"/>
      <c r="AB103" s="63">
        <f>(21.25*8*190)*(AB52)</f>
        <v>32300</v>
      </c>
      <c r="AC103" s="63"/>
      <c r="AD103" s="75">
        <f t="shared" si="113"/>
        <v>32300</v>
      </c>
      <c r="AE103" s="194"/>
      <c r="AF103" s="63"/>
      <c r="AG103" s="63"/>
      <c r="AH103" s="63"/>
      <c r="AI103" s="63"/>
      <c r="AJ103" s="75">
        <f t="shared" si="114"/>
        <v>0</v>
      </c>
      <c r="AL103" s="63"/>
      <c r="AM103" s="63"/>
      <c r="AN103" s="63"/>
      <c r="AO103" s="63"/>
      <c r="AP103" s="75">
        <f t="shared" si="115"/>
        <v>0</v>
      </c>
      <c r="AR103" s="75">
        <f t="shared" si="116"/>
        <v>0</v>
      </c>
      <c r="AS103" s="75">
        <f t="shared" si="108"/>
        <v>0</v>
      </c>
      <c r="AT103" s="75">
        <f t="shared" si="108"/>
        <v>32300</v>
      </c>
      <c r="AU103" s="75">
        <f t="shared" si="108"/>
        <v>0</v>
      </c>
      <c r="AV103" s="75">
        <f t="shared" si="117"/>
        <v>32300</v>
      </c>
    </row>
    <row r="104" spans="1:48" x14ac:dyDescent="0.25">
      <c r="A104" s="21" t="s">
        <v>49</v>
      </c>
      <c r="B104" s="63"/>
      <c r="C104" s="63">
        <f>92700*1.01*1.01</f>
        <v>94563.27</v>
      </c>
      <c r="D104" s="63"/>
      <c r="E104" s="63"/>
      <c r="F104" s="75">
        <f t="shared" si="109"/>
        <v>94563.27</v>
      </c>
      <c r="H104" s="63"/>
      <c r="I104" s="63">
        <f>92700*1.01*1.01</f>
        <v>94563.27</v>
      </c>
      <c r="J104" s="63"/>
      <c r="K104" s="63"/>
      <c r="L104" s="75">
        <f t="shared" si="110"/>
        <v>94563.27</v>
      </c>
      <c r="N104" s="63"/>
      <c r="O104" s="63">
        <f>83100*1.01*1.01</f>
        <v>84770.31</v>
      </c>
      <c r="P104" s="63"/>
      <c r="Q104" s="63"/>
      <c r="R104" s="75">
        <f t="shared" si="111"/>
        <v>84770.31</v>
      </c>
      <c r="T104" s="63"/>
      <c r="U104" s="63"/>
      <c r="V104" s="63"/>
      <c r="W104" s="63"/>
      <c r="X104" s="75">
        <f t="shared" si="112"/>
        <v>0</v>
      </c>
      <c r="Y104" s="194"/>
      <c r="Z104" s="63"/>
      <c r="AA104" s="63"/>
      <c r="AB104" s="63"/>
      <c r="AC104" s="63"/>
      <c r="AD104" s="75">
        <f t="shared" si="113"/>
        <v>0</v>
      </c>
      <c r="AE104" s="194"/>
      <c r="AF104" s="63"/>
      <c r="AG104" s="63"/>
      <c r="AH104" s="63"/>
      <c r="AI104" s="63"/>
      <c r="AJ104" s="75">
        <f t="shared" si="114"/>
        <v>0</v>
      </c>
      <c r="AL104" s="63"/>
      <c r="AM104" s="63"/>
      <c r="AN104" s="63"/>
      <c r="AO104" s="63"/>
      <c r="AP104" s="75">
        <f t="shared" si="115"/>
        <v>0</v>
      </c>
      <c r="AR104" s="75">
        <f t="shared" si="116"/>
        <v>0</v>
      </c>
      <c r="AS104" s="75">
        <f t="shared" si="108"/>
        <v>273896.84999999998</v>
      </c>
      <c r="AT104" s="75">
        <f t="shared" si="108"/>
        <v>0</v>
      </c>
      <c r="AU104" s="75">
        <f t="shared" si="108"/>
        <v>0</v>
      </c>
      <c r="AV104" s="75">
        <f t="shared" si="117"/>
        <v>273896.84999999998</v>
      </c>
    </row>
    <row r="105" spans="1:48" x14ac:dyDescent="0.25">
      <c r="A105" s="21" t="s">
        <v>86</v>
      </c>
      <c r="B105" s="63"/>
      <c r="C105" s="63">
        <f>65000*1.01*1.01</f>
        <v>66306.5</v>
      </c>
      <c r="D105" s="63"/>
      <c r="E105" s="63"/>
      <c r="F105" s="75">
        <f t="shared" si="109"/>
        <v>66306.5</v>
      </c>
      <c r="H105" s="63"/>
      <c r="I105" s="63">
        <f>65000*1.01*1.01</f>
        <v>66306.5</v>
      </c>
      <c r="J105" s="63"/>
      <c r="K105" s="63"/>
      <c r="L105" s="75">
        <f t="shared" si="110"/>
        <v>66306.5</v>
      </c>
      <c r="N105" s="63"/>
      <c r="O105" s="63">
        <f>65000*1.01*1.01</f>
        <v>66306.5</v>
      </c>
      <c r="P105" s="63"/>
      <c r="Q105" s="63"/>
      <c r="R105" s="75">
        <f t="shared" si="111"/>
        <v>66306.5</v>
      </c>
      <c r="T105" s="63"/>
      <c r="U105" s="63"/>
      <c r="V105" s="63"/>
      <c r="W105" s="63"/>
      <c r="X105" s="75">
        <f t="shared" si="112"/>
        <v>0</v>
      </c>
      <c r="Y105" s="194"/>
      <c r="Z105" s="63"/>
      <c r="AA105" s="63"/>
      <c r="AB105" s="63"/>
      <c r="AC105" s="63"/>
      <c r="AD105" s="75">
        <f t="shared" si="113"/>
        <v>0</v>
      </c>
      <c r="AE105" s="194"/>
      <c r="AF105" s="63"/>
      <c r="AG105" s="63"/>
      <c r="AH105" s="63"/>
      <c r="AI105" s="63"/>
      <c r="AJ105" s="75">
        <f t="shared" si="114"/>
        <v>0</v>
      </c>
      <c r="AL105" s="63"/>
      <c r="AM105" s="63"/>
      <c r="AN105" s="63"/>
      <c r="AO105" s="63"/>
      <c r="AP105" s="75">
        <f t="shared" si="115"/>
        <v>0</v>
      </c>
      <c r="AR105" s="75">
        <f t="shared" si="116"/>
        <v>0</v>
      </c>
      <c r="AS105" s="75">
        <f t="shared" si="108"/>
        <v>198919.5</v>
      </c>
      <c r="AT105" s="75">
        <f t="shared" si="108"/>
        <v>0</v>
      </c>
      <c r="AU105" s="75">
        <f t="shared" si="108"/>
        <v>0</v>
      </c>
      <c r="AV105" s="75">
        <f t="shared" si="117"/>
        <v>198919.5</v>
      </c>
    </row>
    <row r="106" spans="1:48" x14ac:dyDescent="0.25">
      <c r="A106" s="21" t="s">
        <v>87</v>
      </c>
      <c r="B106" s="63"/>
      <c r="C106" s="63">
        <f>46000*1.01*1.01</f>
        <v>46924.6</v>
      </c>
      <c r="D106" s="63"/>
      <c r="E106" s="63"/>
      <c r="F106" s="75">
        <f t="shared" si="109"/>
        <v>46924.6</v>
      </c>
      <c r="H106" s="63"/>
      <c r="I106" s="63">
        <f>46000*1.01*1.01</f>
        <v>46924.6</v>
      </c>
      <c r="J106" s="63"/>
      <c r="K106" s="63"/>
      <c r="L106" s="75">
        <f t="shared" si="110"/>
        <v>46924.6</v>
      </c>
      <c r="N106" s="63"/>
      <c r="O106" s="63">
        <f>98000*1.01*1.01</f>
        <v>99969.8</v>
      </c>
      <c r="P106" s="63"/>
      <c r="Q106" s="63"/>
      <c r="R106" s="75">
        <f t="shared" si="111"/>
        <v>99969.8</v>
      </c>
      <c r="T106" s="63"/>
      <c r="U106" s="63"/>
      <c r="V106" s="63"/>
      <c r="W106" s="63"/>
      <c r="X106" s="75">
        <f t="shared" si="112"/>
        <v>0</v>
      </c>
      <c r="Y106" s="194"/>
      <c r="Z106" s="63"/>
      <c r="AA106" s="63"/>
      <c r="AB106" s="63"/>
      <c r="AC106" s="63"/>
      <c r="AD106" s="75">
        <f t="shared" si="113"/>
        <v>0</v>
      </c>
      <c r="AE106" s="194"/>
      <c r="AF106" s="63"/>
      <c r="AG106" s="63"/>
      <c r="AH106" s="63"/>
      <c r="AI106" s="63"/>
      <c r="AJ106" s="75">
        <f t="shared" si="114"/>
        <v>0</v>
      </c>
      <c r="AL106" s="63"/>
      <c r="AM106" s="63">
        <f>(80000+90000)*1.01*1.01</f>
        <v>173417</v>
      </c>
      <c r="AN106" s="63"/>
      <c r="AO106" s="63"/>
      <c r="AP106" s="75">
        <f t="shared" si="115"/>
        <v>173417</v>
      </c>
      <c r="AR106" s="75">
        <f t="shared" si="116"/>
        <v>0</v>
      </c>
      <c r="AS106" s="75">
        <f t="shared" si="108"/>
        <v>367236</v>
      </c>
      <c r="AT106" s="75">
        <f t="shared" si="108"/>
        <v>0</v>
      </c>
      <c r="AU106" s="75">
        <f t="shared" si="108"/>
        <v>0</v>
      </c>
      <c r="AV106" s="75">
        <f t="shared" si="117"/>
        <v>367236</v>
      </c>
    </row>
    <row r="107" spans="1:48" x14ac:dyDescent="0.25">
      <c r="A107" s="21" t="s">
        <v>53</v>
      </c>
      <c r="B107" s="63"/>
      <c r="C107" s="63"/>
      <c r="D107" s="63"/>
      <c r="E107" s="63"/>
      <c r="F107" s="75">
        <f t="shared" si="109"/>
        <v>0</v>
      </c>
      <c r="H107" s="63"/>
      <c r="I107" s="63"/>
      <c r="J107" s="63"/>
      <c r="K107" s="63"/>
      <c r="L107" s="75">
        <f t="shared" si="110"/>
        <v>0</v>
      </c>
      <c r="N107" s="63">
        <f>90700*1.01*1.01</f>
        <v>92523.07</v>
      </c>
      <c r="O107" s="63"/>
      <c r="P107" s="63"/>
      <c r="Q107" s="63"/>
      <c r="R107" s="75">
        <f t="shared" si="111"/>
        <v>92523.07</v>
      </c>
      <c r="T107" s="63"/>
      <c r="U107" s="63"/>
      <c r="V107" s="63"/>
      <c r="W107" s="63"/>
      <c r="X107" s="75">
        <f t="shared" si="112"/>
        <v>0</v>
      </c>
      <c r="Y107" s="194"/>
      <c r="Z107" s="63"/>
      <c r="AA107" s="63"/>
      <c r="AB107" s="63"/>
      <c r="AC107" s="63"/>
      <c r="AD107" s="75">
        <f t="shared" si="113"/>
        <v>0</v>
      </c>
      <c r="AE107" s="194"/>
      <c r="AF107" s="63"/>
      <c r="AG107" s="63"/>
      <c r="AH107" s="63"/>
      <c r="AI107" s="63"/>
      <c r="AJ107" s="75">
        <f t="shared" si="114"/>
        <v>0</v>
      </c>
      <c r="AL107" s="63"/>
      <c r="AM107" s="63"/>
      <c r="AN107" s="63"/>
      <c r="AO107" s="63"/>
      <c r="AP107" s="75">
        <f t="shared" si="115"/>
        <v>0</v>
      </c>
      <c r="AR107" s="75">
        <f t="shared" si="116"/>
        <v>92523.07</v>
      </c>
      <c r="AS107" s="75">
        <f t="shared" si="108"/>
        <v>0</v>
      </c>
      <c r="AT107" s="75">
        <f t="shared" si="108"/>
        <v>0</v>
      </c>
      <c r="AU107" s="75">
        <f t="shared" si="108"/>
        <v>0</v>
      </c>
      <c r="AV107" s="75">
        <f t="shared" si="117"/>
        <v>92523.07</v>
      </c>
    </row>
    <row r="108" spans="1:48" x14ac:dyDescent="0.25">
      <c r="A108" s="22" t="s">
        <v>88</v>
      </c>
      <c r="B108" s="64">
        <f>(47000*1.01*1.01)+(24.5*7.5*230)</f>
        <v>90207.2</v>
      </c>
      <c r="C108" s="64"/>
      <c r="D108" s="64"/>
      <c r="E108" s="64"/>
      <c r="F108" s="75">
        <f t="shared" si="109"/>
        <v>90207.2</v>
      </c>
      <c r="H108" s="64">
        <f>65000*1.01*1.01</f>
        <v>66306.5</v>
      </c>
      <c r="I108" s="64"/>
      <c r="J108" s="64"/>
      <c r="K108" s="64"/>
      <c r="L108" s="75">
        <f t="shared" si="110"/>
        <v>66306.5</v>
      </c>
      <c r="N108" s="64">
        <f>61800*1.01*1.01</f>
        <v>63042.18</v>
      </c>
      <c r="O108" s="64"/>
      <c r="P108" s="64"/>
      <c r="Q108" s="64"/>
      <c r="R108" s="75">
        <f t="shared" si="111"/>
        <v>63042.18</v>
      </c>
      <c r="T108" s="64"/>
      <c r="U108" s="64"/>
      <c r="V108" s="64"/>
      <c r="W108" s="64"/>
      <c r="X108" s="75">
        <f t="shared" si="112"/>
        <v>0</v>
      </c>
      <c r="Y108" s="194"/>
      <c r="Z108" s="64"/>
      <c r="AA108" s="64"/>
      <c r="AB108" s="64"/>
      <c r="AC108" s="64"/>
      <c r="AD108" s="75">
        <f t="shared" si="113"/>
        <v>0</v>
      </c>
      <c r="AE108" s="194"/>
      <c r="AF108" s="64"/>
      <c r="AG108" s="64"/>
      <c r="AH108" s="64"/>
      <c r="AI108" s="64"/>
      <c r="AJ108" s="75">
        <f t="shared" si="114"/>
        <v>0</v>
      </c>
      <c r="AL108" s="64"/>
      <c r="AM108" s="64"/>
      <c r="AN108" s="64"/>
      <c r="AO108" s="64"/>
      <c r="AP108" s="75">
        <f t="shared" si="115"/>
        <v>0</v>
      </c>
      <c r="AR108" s="75">
        <f t="shared" si="116"/>
        <v>219555.88</v>
      </c>
      <c r="AS108" s="75">
        <f t="shared" si="108"/>
        <v>0</v>
      </c>
      <c r="AT108" s="75">
        <f t="shared" si="108"/>
        <v>0</v>
      </c>
      <c r="AU108" s="75">
        <f t="shared" si="108"/>
        <v>0</v>
      </c>
      <c r="AV108" s="75">
        <f t="shared" si="117"/>
        <v>219555.88</v>
      </c>
    </row>
    <row r="109" spans="1:48" x14ac:dyDescent="0.25">
      <c r="A109" s="27"/>
      <c r="B109" s="76">
        <f t="shared" ref="B109:E109" si="118">SUM(B93:B108)</f>
        <v>1254229.0726500002</v>
      </c>
      <c r="C109" s="76">
        <f t="shared" si="118"/>
        <v>207794.37000000002</v>
      </c>
      <c r="D109" s="76">
        <f t="shared" si="118"/>
        <v>104400</v>
      </c>
      <c r="E109" s="76">
        <f t="shared" si="118"/>
        <v>0</v>
      </c>
      <c r="F109" s="76">
        <f t="shared" ref="F109" si="119">SUM(F93:F108)</f>
        <v>1566423.4426500003</v>
      </c>
      <c r="H109" s="76">
        <f t="shared" ref="H109:L109" si="120">SUM(H93:H108)</f>
        <v>1396372.594</v>
      </c>
      <c r="I109" s="76">
        <f t="shared" si="120"/>
        <v>207794.37000000002</v>
      </c>
      <c r="J109" s="76">
        <f t="shared" si="120"/>
        <v>104040</v>
      </c>
      <c r="K109" s="76">
        <f t="shared" si="120"/>
        <v>0</v>
      </c>
      <c r="L109" s="76">
        <f t="shared" si="120"/>
        <v>1708206.9640000002</v>
      </c>
      <c r="N109" s="76">
        <f t="shared" ref="N109:R109" si="121">SUM(N93:N108)</f>
        <v>2507669.7340000002</v>
      </c>
      <c r="O109" s="76">
        <f t="shared" si="121"/>
        <v>251046.61</v>
      </c>
      <c r="P109" s="76">
        <f t="shared" si="121"/>
        <v>300240</v>
      </c>
      <c r="Q109" s="76">
        <f t="shared" si="121"/>
        <v>0</v>
      </c>
      <c r="R109" s="76">
        <f t="shared" si="121"/>
        <v>3058956.344</v>
      </c>
      <c r="T109" s="76">
        <f t="shared" ref="T109:W109" si="122">SUM(T93:T108)</f>
        <v>249651.7</v>
      </c>
      <c r="U109" s="76">
        <f t="shared" si="122"/>
        <v>0</v>
      </c>
      <c r="V109" s="76">
        <f t="shared" si="122"/>
        <v>11070</v>
      </c>
      <c r="W109" s="76">
        <f t="shared" si="122"/>
        <v>0</v>
      </c>
      <c r="X109" s="76">
        <f t="shared" ref="X109" si="123">SUM(X93:X108)</f>
        <v>260721.7</v>
      </c>
      <c r="Y109" s="199"/>
      <c r="Z109" s="76">
        <f t="shared" ref="Z109:AD109" si="124">SUM(Z93:Z108)</f>
        <v>489560</v>
      </c>
      <c r="AA109" s="76">
        <f t="shared" si="124"/>
        <v>0</v>
      </c>
      <c r="AB109" s="76">
        <f t="shared" si="124"/>
        <v>32300</v>
      </c>
      <c r="AC109" s="76">
        <f t="shared" si="124"/>
        <v>0</v>
      </c>
      <c r="AD109" s="76">
        <f t="shared" si="124"/>
        <v>521860</v>
      </c>
      <c r="AE109" s="199"/>
      <c r="AF109" s="76">
        <f t="shared" ref="AF109:AJ109" si="125">SUM(AF93:AF108)</f>
        <v>487160</v>
      </c>
      <c r="AG109" s="76">
        <f t="shared" si="125"/>
        <v>0</v>
      </c>
      <c r="AH109" s="76">
        <f t="shared" si="125"/>
        <v>59200</v>
      </c>
      <c r="AI109" s="76">
        <f t="shared" si="125"/>
        <v>0</v>
      </c>
      <c r="AJ109" s="76">
        <f t="shared" si="125"/>
        <v>546360</v>
      </c>
      <c r="AL109" s="76">
        <f t="shared" ref="AL109:AO109" si="126">SUM(AL93:AL108)</f>
        <v>244926.01</v>
      </c>
      <c r="AM109" s="76">
        <f t="shared" si="126"/>
        <v>294247.84499999997</v>
      </c>
      <c r="AN109" s="76">
        <f t="shared" si="126"/>
        <v>65994.03125</v>
      </c>
      <c r="AO109" s="76">
        <f t="shared" si="126"/>
        <v>200000</v>
      </c>
      <c r="AP109" s="76">
        <f t="shared" ref="AP109" si="127">SUM(AP93:AP108)</f>
        <v>805167.88624999998</v>
      </c>
      <c r="AR109" s="76">
        <f t="shared" ref="AR109:AV109" si="128">SUM(AR93:AR108)</f>
        <v>6629569.1106500002</v>
      </c>
      <c r="AS109" s="76">
        <f t="shared" si="128"/>
        <v>960883.19499999995</v>
      </c>
      <c r="AT109" s="76">
        <f t="shared" si="128"/>
        <v>677244.03125</v>
      </c>
      <c r="AU109" s="76">
        <f t="shared" si="128"/>
        <v>200000</v>
      </c>
      <c r="AV109" s="76">
        <f t="shared" si="128"/>
        <v>8467696.3368999995</v>
      </c>
    </row>
    <row r="110" spans="1:48" x14ac:dyDescent="0.25">
      <c r="A110" s="20" t="s">
        <v>252</v>
      </c>
      <c r="B110" s="75">
        <f>B109*0.3775</f>
        <v>473471.47492537508</v>
      </c>
      <c r="C110" s="75">
        <f t="shared" ref="C110:E110" si="129">C109*0.3775</f>
        <v>78442.374675000014</v>
      </c>
      <c r="D110" s="75">
        <f t="shared" si="129"/>
        <v>39411</v>
      </c>
      <c r="E110" s="75">
        <f t="shared" si="129"/>
        <v>0</v>
      </c>
      <c r="F110" s="75">
        <f>SUM(B110:E110)</f>
        <v>591324.84960037505</v>
      </c>
      <c r="H110" s="75">
        <f>H109*0.3775</f>
        <v>527130.65423500002</v>
      </c>
      <c r="I110" s="75">
        <f t="shared" ref="I110" si="130">I109*0.3775</f>
        <v>78442.374675000014</v>
      </c>
      <c r="J110" s="75">
        <f t="shared" ref="J110" si="131">J109*0.3775</f>
        <v>39275.1</v>
      </c>
      <c r="K110" s="75">
        <f t="shared" ref="K110" si="132">K109*0.3725</f>
        <v>0</v>
      </c>
      <c r="L110" s="75">
        <f>SUM(H110:K110)</f>
        <v>644848.12890999997</v>
      </c>
      <c r="N110" s="75">
        <f>(N109-N93)*0.3775+(N93*0.15)</f>
        <v>894254.90127249993</v>
      </c>
      <c r="O110" s="75">
        <f t="shared" ref="O110:P110" si="133">O109*0.3775</f>
        <v>94770.095275</v>
      </c>
      <c r="P110" s="75">
        <f t="shared" si="133"/>
        <v>113340.6</v>
      </c>
      <c r="Q110" s="75">
        <f t="shared" ref="Q110" si="134">Q109*0.3675</f>
        <v>0</v>
      </c>
      <c r="R110" s="75">
        <f>SUM(N110:Q110)</f>
        <v>1102365.5965475</v>
      </c>
      <c r="T110" s="75">
        <f>T109*0.3775</f>
        <v>94243.51675000001</v>
      </c>
      <c r="U110" s="75">
        <f t="shared" ref="U110:W110" si="135">U109*0.3775</f>
        <v>0</v>
      </c>
      <c r="V110" s="75">
        <f t="shared" si="135"/>
        <v>4178.9250000000002</v>
      </c>
      <c r="W110" s="75">
        <f t="shared" si="135"/>
        <v>0</v>
      </c>
      <c r="X110" s="75">
        <f>SUM(T110:W110)</f>
        <v>98422.441750000013</v>
      </c>
      <c r="Y110" s="194"/>
      <c r="Z110" s="75">
        <f>Z109*0.3775</f>
        <v>184808.9</v>
      </c>
      <c r="AA110" s="75">
        <f t="shared" ref="AA110:AC110" si="136">AA109*0.3775</f>
        <v>0</v>
      </c>
      <c r="AB110" s="75">
        <f t="shared" si="136"/>
        <v>12193.25</v>
      </c>
      <c r="AC110" s="75">
        <f t="shared" si="136"/>
        <v>0</v>
      </c>
      <c r="AD110" s="75">
        <f>SUM(Z110:AC110)</f>
        <v>197002.15</v>
      </c>
      <c r="AE110" s="194"/>
      <c r="AF110" s="75">
        <f>AF109*0.3725</f>
        <v>181467.1</v>
      </c>
      <c r="AG110" s="75">
        <f t="shared" ref="AG110:AI110" si="137">AG109*0.3725</f>
        <v>0</v>
      </c>
      <c r="AH110" s="75">
        <f t="shared" si="137"/>
        <v>22052</v>
      </c>
      <c r="AI110" s="75">
        <f t="shared" si="137"/>
        <v>0</v>
      </c>
      <c r="AJ110" s="75">
        <f>SUM(AF110:AI110)</f>
        <v>203519.1</v>
      </c>
      <c r="AL110" s="60">
        <f>AL109*0.3775</f>
        <v>92459.568775000007</v>
      </c>
      <c r="AM110" s="60">
        <f t="shared" ref="AM110:AN110" si="138">AM109*0.3775</f>
        <v>111078.56148749999</v>
      </c>
      <c r="AN110" s="60">
        <f t="shared" si="138"/>
        <v>24912.746796874999</v>
      </c>
      <c r="AO110" s="60">
        <f t="shared" ref="AO110" si="139">AO109*0.3675</f>
        <v>73500</v>
      </c>
      <c r="AP110" s="75">
        <f>SUM(AL110:AO110)</f>
        <v>301950.87705937499</v>
      </c>
      <c r="AR110" s="60">
        <f>B110+H110+N110+T110+AL110+AF110+Z110</f>
        <v>2447836.1159578748</v>
      </c>
      <c r="AS110" s="60">
        <f t="shared" ref="AS110:AU115" si="140">C110+I110+O110+U110+AM110+AG110+AA110</f>
        <v>362733.4061125</v>
      </c>
      <c r="AT110" s="60">
        <f t="shared" si="140"/>
        <v>255363.621796875</v>
      </c>
      <c r="AU110" s="60">
        <f t="shared" si="140"/>
        <v>73500</v>
      </c>
      <c r="AV110" s="75">
        <f>SUM(AR110:AU110)</f>
        <v>3139433.1438672496</v>
      </c>
    </row>
    <row r="111" spans="1:48" x14ac:dyDescent="0.25">
      <c r="A111" s="21" t="s">
        <v>90</v>
      </c>
      <c r="B111" s="61">
        <f>(((9875*(B64*0.9))+((215*(B64*0.85))+((90*(B64*0.85))+(B65*15)+(B109*0.015)+(B109*0.03)))))</f>
        <v>254272.93326925</v>
      </c>
      <c r="C111" s="61">
        <f>(((9875*(C64*0.9))+((215*(C64*0.875))+((90*(C64*0.85))+(C65*15)+(C109*0.015)+(C109*0.03)))))</f>
        <v>32418.559150000001</v>
      </c>
      <c r="D111" s="61">
        <f>(((9875*(D64*0.85))+((215*(D64*0.85))+((90*(D64*0.85))+(D65*15)+(D109*0.015)+(D109*0.03)))))</f>
        <v>30702</v>
      </c>
      <c r="E111" s="61">
        <f t="shared" ref="E111" si="141">(((8150*(E64*0.85))+((185*(E64*0.85))+((75*(E64*0.85))+(E65*7)+(E109*0.015)+(E109*0.03)))))</f>
        <v>0</v>
      </c>
      <c r="F111" s="75">
        <f t="shared" ref="F111:F115" si="142">SUM(B111:E111)</f>
        <v>317393.49241925002</v>
      </c>
      <c r="H111" s="61">
        <f>(((9875*(H64*0.9))+((215*(H64*0.85))+((90*(H64*0.85))+(H65*15)+(H109*0.015)+(H109*0.03)))))</f>
        <v>237757.51672999997</v>
      </c>
      <c r="I111" s="61">
        <f>(((9875*(I64*0.9))+((215*(I64*0.875))+((90*(I64*0.85))+(I65*15)+(I109*0.015)+(I109*0.03)))))</f>
        <v>32411.059150000001</v>
      </c>
      <c r="J111" s="61">
        <f>(((9875*(J64*0.85))+((215*(J64*0.85))+((90*(J64*0.85))+(J65*15)+(J109*0.015)+(J109*0.03)))))</f>
        <v>30685.8</v>
      </c>
      <c r="K111" s="61">
        <f t="shared" ref="K111" si="143">(((8150*(K64*0.85))+((185*(K64*0.85))+((75*(K64*0.85))+(K65*7)+(K109*0.015)+(K109*0.03)))))</f>
        <v>0</v>
      </c>
      <c r="L111" s="75">
        <f t="shared" ref="L111:L115" si="144">SUM(H111:K111)</f>
        <v>300854.37587999995</v>
      </c>
      <c r="N111" s="61">
        <f>(((9875*(N64*0.9))+((215*(N64*0.85))+((90*(N64*0.85))+(N65*15)+(N109*0.015)+(N109*0.03)))))</f>
        <v>481070.13803000003</v>
      </c>
      <c r="O111" s="61">
        <f>(((9875*(O64*0.9))+((215*(O64*0.875))+((90*(O64*0.85))+(O65*15)+(O109*0.015)+(O109*0.03)))))</f>
        <v>39218.472450000001</v>
      </c>
      <c r="P111" s="61">
        <f>(((9875*(P64*0.85))+((215*(P64*0.85))+((90*(P64*0.85))+(P65*15)+(P109*0.015)+(P109*0.03)))))</f>
        <v>91522.8</v>
      </c>
      <c r="Q111" s="61">
        <f t="shared" ref="Q111" si="145">(((8150*(Q64*0.85))+((185*(Q64*0.85))+((75*(Q64*0.85))+(Q65*7)+(Q109*0.015)+(Q109*0.03)))))</f>
        <v>0</v>
      </c>
      <c r="R111" s="75">
        <f t="shared" ref="R111:R115" si="146">SUM(N111:Q111)</f>
        <v>611811.41048000008</v>
      </c>
      <c r="T111" s="61">
        <f>(((9875*(T64*0.85))+((215*(T64*0.85))+((90*(T64*0.85))+(T65*15)+(T109*0.015)+(T109*0.03)))))</f>
        <v>54986.826499999996</v>
      </c>
      <c r="U111" s="61">
        <v>0</v>
      </c>
      <c r="V111" s="61">
        <f t="shared" ref="V111:W111" si="147">(((9875*(V64*0.85))+((215*(V64*0.85))+((90*(V64*0.85))+(V65*15)+(V109*0.015)+(V109*0.03)))))</f>
        <v>498.15</v>
      </c>
      <c r="W111" s="61">
        <f t="shared" si="147"/>
        <v>0</v>
      </c>
      <c r="X111" s="75">
        <f t="shared" ref="X111:X115" si="148">SUM(T111:W111)</f>
        <v>55484.976499999997</v>
      </c>
      <c r="Y111" s="194"/>
      <c r="Z111" s="61">
        <f>(((9875*(Z64*0.85))+((215*(Z64*0.85))+((90*(Z64*0.85))+(Z65*15)+(Z109*0.015)+(Z109*0.03)))))</f>
        <v>91794.2</v>
      </c>
      <c r="AA111" s="61">
        <v>0</v>
      </c>
      <c r="AB111" s="61">
        <f t="shared" ref="AB111:AC111" si="149">(((9875*(AB64*0.85))+((215*(AB64*0.85))+((90*(AB64*0.85))+(AB65*15)+(AB109*0.015)+(AB109*0.03)))))</f>
        <v>10121.5</v>
      </c>
      <c r="AC111" s="61">
        <f t="shared" si="149"/>
        <v>0</v>
      </c>
      <c r="AD111" s="75">
        <f t="shared" ref="AD111:AD115" si="150">SUM(Z111:AC111)</f>
        <v>101915.7</v>
      </c>
      <c r="AE111" s="194"/>
      <c r="AF111" s="61">
        <f>(((8975*(AF64*0.85))+((200*(AF64*0.85))+((80*(AF64*0.85))+(AF65*10)+(AF109*0.015)+(AF109*0.03)))))</f>
        <v>85276.2</v>
      </c>
      <c r="AG111" s="61">
        <v>0</v>
      </c>
      <c r="AH111" s="61">
        <f t="shared" ref="AH111:AI111" si="151">(((8975*(AH64*0.85))+((200*(AH64*0.85))+((80*(AH64*0.85))+(AH65*10)+(AH109*0.015)+(AH109*0.03)))))</f>
        <v>2684</v>
      </c>
      <c r="AI111" s="61">
        <f t="shared" si="151"/>
        <v>0</v>
      </c>
      <c r="AJ111" s="75">
        <f t="shared" ref="AJ111:AJ115" si="152">SUM(AF111:AI111)</f>
        <v>87960.2</v>
      </c>
      <c r="AL111" s="61">
        <f>AL109*0.18</f>
        <v>44086.681799999998</v>
      </c>
      <c r="AM111" s="61">
        <f t="shared" ref="AM111:AN111" si="153">AM109*0.18</f>
        <v>52964.612099999991</v>
      </c>
      <c r="AN111" s="61">
        <f t="shared" si="153"/>
        <v>11878.925625</v>
      </c>
      <c r="AO111" s="61">
        <f>AO109*0.15</f>
        <v>30000</v>
      </c>
      <c r="AP111" s="75">
        <f t="shared" ref="AP111:AP115" si="154">SUM(AL111:AO111)</f>
        <v>138930.21952499999</v>
      </c>
      <c r="AR111" s="60">
        <f t="shared" ref="AR111:AR115" si="155">B111+H111+N111+T111+AL111+AF111+Z111</f>
        <v>1249244.4963292498</v>
      </c>
      <c r="AS111" s="60">
        <f t="shared" si="140"/>
        <v>157012.70285</v>
      </c>
      <c r="AT111" s="60">
        <f t="shared" si="140"/>
        <v>178093.175625</v>
      </c>
      <c r="AU111" s="60">
        <f t="shared" si="140"/>
        <v>30000</v>
      </c>
      <c r="AV111" s="75">
        <f t="shared" ref="AV111:AV115" si="156">SUM(AR111:AU111)</f>
        <v>1614350.3748042497</v>
      </c>
    </row>
    <row r="112" spans="1:48" x14ac:dyDescent="0.25">
      <c r="A112" s="21" t="s">
        <v>91</v>
      </c>
      <c r="B112" s="61">
        <f>(2500*B39)+(2000*B40)+((1500*(B42+B44+B45))+((1250*(B46+B47))+((1250*(B54+B53+B55+B56+B57+B58+B60))+((500*(B51+B49+B48))))))+(1000*5)</f>
        <v>28625</v>
      </c>
      <c r="C112" s="61">
        <f>(2500*C39)+(2000*C40)+((1500*(C42+C44+C45))+((1250*(C46+C47))+((1250*(C54+C53+C55+C56+C57+C58+C60))+((500*(C51+C49+C48))))))+(1000*2)</f>
        <v>5125</v>
      </c>
      <c r="D112" s="61">
        <f>(2500*D39)+(2000*D40)+((1500*(D42+D44+D45))+((1250*(D46+D47))+((1250*(D54+D53+D55+D56+D57+D58+D60))+((500*(D52))))))+(1000*1)</f>
        <v>2500</v>
      </c>
      <c r="E112" s="61">
        <f>(2500*E39)+(2000*E40)+((1500*(E42+E44+E45))+((1250*(E46+E47))+((1250*(E54+E53+E55+E56+E57+E58+E60))+((500*(E51+E49+E48))))))</f>
        <v>0</v>
      </c>
      <c r="F112" s="75">
        <f t="shared" si="142"/>
        <v>36250</v>
      </c>
      <c r="H112" s="61">
        <f>(2500*H39)+(2000*H40)+((1500*(H42+H44+H45))+((1250*(H46+H47))+((1250*(H54+H53+H55+H56+H57+H58+H60))+((500*(H51+H49+H48))))))+(1000*5)</f>
        <v>28000</v>
      </c>
      <c r="I112" s="61">
        <f>(2500*I39)+(2000*I40)+((1500*(I42+I44+I45))+((1250*(I46+I47))+((1250*(I54+I53+I55+I56+I57+I58+I60))+((500*(I51+I49+I48))))))+(1000*2)</f>
        <v>5125</v>
      </c>
      <c r="J112" s="61">
        <f>(2500*J39)+(2000*J40)+((1500*(J42+J44+J45))+((1250*(J46+J47))+((1250*(J54+J53+J55+J56+J57+J58+J60))+((500*(J52))))))+(1000*1)</f>
        <v>2500</v>
      </c>
      <c r="K112" s="61">
        <f>(2500*K39)+(2000*K40)+((1500*(K42+K44+K45))+((1250*(K46+K47))+((1250*(K54+K53+K55+K56+K57+K58+K60))+((500*(K51+K49+K48))))))</f>
        <v>0</v>
      </c>
      <c r="L112" s="75">
        <f t="shared" si="144"/>
        <v>35625</v>
      </c>
      <c r="N112" s="61">
        <f>(2500*N39)+(2000*N40)+((1500*(N42+N44+N45))+((1250*(N46+N47))+((1250*(N54+N53+N55+N56+N57+N58+N60))+((500*(N51+N49+N48))))))+(1000*5)</f>
        <v>43250</v>
      </c>
      <c r="O112" s="61">
        <f>(2500*O39)+(2000*O40)+((1500*(O42+O44+O45))+((1250*(O46+O47))+((1250*(O54+O53+O55+O56+O57+O58+O60))+((500*(O51+O49+O48))))))+(1000*2)</f>
        <v>5750</v>
      </c>
      <c r="P112" s="61">
        <f>(2500*P39)+(2000*P40)+((1500*(P42+P44+P45))+((1250*(P46+P47))+((1250*(P54+P53+P55+P56+P57+P58+P60))+((500*(P52))))))+(1000*1)</f>
        <v>5500</v>
      </c>
      <c r="Q112" s="61">
        <f>(2500*Q39)+(2000*Q40)+((1500*(Q42+Q44+Q45))+((1250*(Q46+Q47))+((1250*(Q54+Q53+Q55+Q56+Q57+Q58+Q60))+((500*(Q51+Q49+Q48))))))</f>
        <v>0</v>
      </c>
      <c r="R112" s="75">
        <f t="shared" si="146"/>
        <v>54500</v>
      </c>
      <c r="T112" s="61">
        <f>(2500*T39)+(2000*T40)+((1500*(T42+T44+T45))+((1250*(T46+T47))+((1250*(T54+T53+T55+T56+T57+T58+T60))+((500*(T51+T49+T48))))))+(1000*1)</f>
        <v>6250</v>
      </c>
      <c r="U112" s="61">
        <f>(2500*U39)+(2000*U40)+((1500*(U42+U44+U45))+((1250*(U46+U47))+((1250*(U54+U53+U55+U56+U57+U58+U60))+((500*(U51+U49+U48))))))</f>
        <v>0</v>
      </c>
      <c r="V112" s="61">
        <f t="shared" ref="V112:W112" si="157">(2500*V39)+(2000*V40)+((1500*(V42+V44+V45))+((1250*(V46+V47))+((1250*(V54+V53+V55+V56+V57+V58+V60))+((500*(V51+V49+V48))))))</f>
        <v>0</v>
      </c>
      <c r="W112" s="61">
        <f t="shared" si="157"/>
        <v>0</v>
      </c>
      <c r="X112" s="75">
        <f t="shared" si="148"/>
        <v>6250</v>
      </c>
      <c r="Y112" s="194"/>
      <c r="Z112" s="61">
        <f>((2500*Z39)+(2000*Z40)+((1500*(Z42+Z44+Z45))+((1250*(Z46+Z47))+((1250*(Z54+Z53+Z55+Z56+Z57+Z58+Z60))+((500*(Z51+Z49+Z48))))))+(1000*1))</f>
        <v>10000</v>
      </c>
      <c r="AA112" s="61">
        <f>(2500*AA39)+(2000*AA40)+((1500*(AA42+AA44+AA45))+((1250*(AA46+AA47))+((1250*(AA54+AA53+AA55+AA56+AA57+AA58+AA60))+((500*(AA51+AA49+AA48))))))</f>
        <v>0</v>
      </c>
      <c r="AB112" s="61">
        <f t="shared" ref="AB112:AC112" si="158">(2500*AB39)+(2000*AB40)+((1500*(AB42+AB44+AB45))+((1250*(AB46+AB47))+((1250*(AB54+AB53+AB55+AB56+AB57+AB58+AB60))+((500*(AB51+AB49+AB48))))))</f>
        <v>0</v>
      </c>
      <c r="AC112" s="61">
        <f t="shared" si="158"/>
        <v>0</v>
      </c>
      <c r="AD112" s="75">
        <f t="shared" si="150"/>
        <v>10000</v>
      </c>
      <c r="AE112" s="194"/>
      <c r="AF112" s="61">
        <f>(2500*AF39)+(2000*AF40)+((1500*(AF42+AF44+AF45))+((1250*(AF46+AF47))+((1250*(AF54+AF53+AF55+AF56+AF57+AF58+AF60))+((500*(AF51+AF49+AF48))))))+(1000*1)</f>
        <v>10000</v>
      </c>
      <c r="AG112" s="61">
        <f>(2500*AG39)+(2000*AG40)+((1500*(AG42+AG44+AG45))+((1250*(AG46+AG47))+((1250*(AG54+AG53+AG55+AG56+AG57+AG58+AG60))+((500*(AG51+AG49+AG48))))))</f>
        <v>0</v>
      </c>
      <c r="AH112" s="61">
        <f t="shared" ref="AH112:AI112" si="159">(2500*AH39)+(2000*AH40)+((1500*(AH42+AH44+AH45))+((1250*(AH46+AH47))+((1250*(AH54+AH53+AH55+AH56+AH57+AH58+AH60))+((500*(AH51+AH49+AH48))))))</f>
        <v>0</v>
      </c>
      <c r="AI112" s="61">
        <f t="shared" si="159"/>
        <v>0</v>
      </c>
      <c r="AJ112" s="75">
        <f t="shared" si="152"/>
        <v>10000</v>
      </c>
      <c r="AL112" s="61">
        <f>(2500*AL39)+(2000*AL40)+((1500*(AL42+AL44+AL45))+((1250*(AL46+AL47))+((1250*(AL54+AL53+AL55+AL56+AL57+AL58+AL60))+((500*(AL51+AL49+AL48))))))</f>
        <v>3250</v>
      </c>
      <c r="AM112" s="61">
        <f>(2500*AM39)+(2000*AM40)+((1500*(AM42+AM44+AM45))+((1250*(AM46+AM47))+((1250*(AM54+AM53+AM55+AM56+AM57+AM58+AM60))+((500*(AM51+AM49+AM48))))))</f>
        <v>4500</v>
      </c>
      <c r="AN112" s="61">
        <f>(2500*AN39)+(2000*AN40)+((1500*(AN42+AN44+AN45))+((1250*(AN46+AN47))+((1250*(AN54+AN53+AN55+AN56+AN57+AN58+AN60))+((500*(AN52))))))+(1000*1)</f>
        <v>1500</v>
      </c>
      <c r="AO112" s="61">
        <f>(2500*AO39)+(2000*AO40)+((1500*(AO42+AO44+AO45))+((1250*(AO46+AO47))+((1250*(AO54+AO53+AO55+AO56+AO57+AO58+AO60))+((500*(AO51+AO49+AO48))))))</f>
        <v>3000</v>
      </c>
      <c r="AP112" s="75">
        <f t="shared" si="154"/>
        <v>12250</v>
      </c>
      <c r="AR112" s="60">
        <f t="shared" si="155"/>
        <v>129375</v>
      </c>
      <c r="AS112" s="60">
        <f t="shared" si="140"/>
        <v>20500</v>
      </c>
      <c r="AT112" s="60">
        <f t="shared" si="140"/>
        <v>12000</v>
      </c>
      <c r="AU112" s="60">
        <f t="shared" si="140"/>
        <v>3000</v>
      </c>
      <c r="AV112" s="75">
        <f t="shared" si="156"/>
        <v>164875</v>
      </c>
    </row>
    <row r="113" spans="1:48" x14ac:dyDescent="0.25">
      <c r="A113" s="21" t="s">
        <v>92</v>
      </c>
      <c r="B113" s="61">
        <f>250*B64</f>
        <v>5375</v>
      </c>
      <c r="C113" s="61">
        <f t="shared" ref="C113:E113" si="160">250*C64</f>
        <v>625</v>
      </c>
      <c r="D113" s="61">
        <f t="shared" si="160"/>
        <v>750</v>
      </c>
      <c r="E113" s="61">
        <f t="shared" si="160"/>
        <v>0</v>
      </c>
      <c r="F113" s="75">
        <f t="shared" si="142"/>
        <v>6750</v>
      </c>
      <c r="H113" s="61">
        <f>250*H64</f>
        <v>4750</v>
      </c>
      <c r="I113" s="61">
        <f t="shared" ref="I113:K113" si="161">250*I64</f>
        <v>625</v>
      </c>
      <c r="J113" s="61">
        <f t="shared" si="161"/>
        <v>750</v>
      </c>
      <c r="K113" s="61">
        <f t="shared" si="161"/>
        <v>0</v>
      </c>
      <c r="L113" s="75">
        <f t="shared" si="144"/>
        <v>6125</v>
      </c>
      <c r="N113" s="61">
        <f>250*N64</f>
        <v>10000</v>
      </c>
      <c r="O113" s="61">
        <f t="shared" ref="O113:Q113" si="162">250*O64</f>
        <v>750</v>
      </c>
      <c r="P113" s="61">
        <f t="shared" si="162"/>
        <v>2250</v>
      </c>
      <c r="Q113" s="61">
        <f t="shared" si="162"/>
        <v>0</v>
      </c>
      <c r="R113" s="75">
        <f t="shared" si="146"/>
        <v>13000</v>
      </c>
      <c r="T113" s="61">
        <f>250*T64</f>
        <v>1250</v>
      </c>
      <c r="U113" s="61">
        <f t="shared" ref="U113:W113" si="163">250*U64</f>
        <v>0</v>
      </c>
      <c r="V113" s="61">
        <f t="shared" si="163"/>
        <v>0</v>
      </c>
      <c r="W113" s="61">
        <f t="shared" si="163"/>
        <v>0</v>
      </c>
      <c r="X113" s="75">
        <f t="shared" si="148"/>
        <v>1250</v>
      </c>
      <c r="Y113" s="194"/>
      <c r="Z113" s="61">
        <f>250*Z64</f>
        <v>2000</v>
      </c>
      <c r="AA113" s="61">
        <f t="shared" ref="AA113:AC113" si="164">250*AA64</f>
        <v>0</v>
      </c>
      <c r="AB113" s="61">
        <f t="shared" si="164"/>
        <v>250</v>
      </c>
      <c r="AC113" s="61">
        <f t="shared" si="164"/>
        <v>0</v>
      </c>
      <c r="AD113" s="75">
        <f t="shared" si="150"/>
        <v>2250</v>
      </c>
      <c r="AE113" s="194"/>
      <c r="AF113" s="61">
        <f>250*AF64</f>
        <v>2000</v>
      </c>
      <c r="AG113" s="61">
        <f t="shared" ref="AG113:AI113" si="165">250*AG64</f>
        <v>0</v>
      </c>
      <c r="AH113" s="61">
        <f t="shared" si="165"/>
        <v>0</v>
      </c>
      <c r="AI113" s="61">
        <f t="shared" si="165"/>
        <v>0</v>
      </c>
      <c r="AJ113" s="75">
        <f t="shared" si="152"/>
        <v>2000</v>
      </c>
      <c r="AL113" s="61">
        <f>250*AL64</f>
        <v>750</v>
      </c>
      <c r="AM113" s="61">
        <f t="shared" ref="AM113:AO113" si="166">250*AM64</f>
        <v>750</v>
      </c>
      <c r="AN113" s="61">
        <f t="shared" si="166"/>
        <v>250</v>
      </c>
      <c r="AO113" s="61">
        <f t="shared" si="166"/>
        <v>500</v>
      </c>
      <c r="AP113" s="75">
        <f t="shared" si="154"/>
        <v>2250</v>
      </c>
      <c r="AR113" s="60">
        <f t="shared" si="155"/>
        <v>26125</v>
      </c>
      <c r="AS113" s="60">
        <f t="shared" si="140"/>
        <v>2750</v>
      </c>
      <c r="AT113" s="60">
        <f t="shared" si="140"/>
        <v>4250</v>
      </c>
      <c r="AU113" s="60">
        <f t="shared" si="140"/>
        <v>500</v>
      </c>
      <c r="AV113" s="75">
        <f t="shared" si="156"/>
        <v>33625</v>
      </c>
    </row>
    <row r="114" spans="1:48" x14ac:dyDescent="0.25">
      <c r="A114" s="21" t="s">
        <v>93</v>
      </c>
      <c r="B114" s="63"/>
      <c r="C114" s="63"/>
      <c r="D114" s="63"/>
      <c r="E114" s="63"/>
      <c r="F114" s="75">
        <f t="shared" si="142"/>
        <v>0</v>
      </c>
      <c r="H114" s="63"/>
      <c r="I114" s="63"/>
      <c r="J114" s="63"/>
      <c r="K114" s="63"/>
      <c r="L114" s="75">
        <f t="shared" si="144"/>
        <v>0</v>
      </c>
      <c r="N114" s="63"/>
      <c r="O114" s="63"/>
      <c r="P114" s="63"/>
      <c r="Q114" s="63"/>
      <c r="R114" s="75">
        <f t="shared" si="146"/>
        <v>0</v>
      </c>
      <c r="T114" s="63"/>
      <c r="U114" s="63"/>
      <c r="V114" s="63"/>
      <c r="W114" s="63"/>
      <c r="X114" s="75">
        <f t="shared" si="148"/>
        <v>0</v>
      </c>
      <c r="Y114" s="194"/>
      <c r="Z114" s="63"/>
      <c r="AA114" s="63"/>
      <c r="AB114" s="63"/>
      <c r="AC114" s="63"/>
      <c r="AD114" s="75">
        <f t="shared" si="150"/>
        <v>0</v>
      </c>
      <c r="AE114" s="194"/>
      <c r="AF114" s="63"/>
      <c r="AG114" s="63"/>
      <c r="AH114" s="63"/>
      <c r="AI114" s="63"/>
      <c r="AJ114" s="75">
        <f t="shared" si="152"/>
        <v>0</v>
      </c>
      <c r="AL114" s="61">
        <v>0</v>
      </c>
      <c r="AM114" s="61"/>
      <c r="AN114" s="61"/>
      <c r="AO114" s="61"/>
      <c r="AP114" s="75">
        <f t="shared" si="154"/>
        <v>0</v>
      </c>
      <c r="AR114" s="60">
        <f t="shared" si="155"/>
        <v>0</v>
      </c>
      <c r="AS114" s="60">
        <f t="shared" si="140"/>
        <v>0</v>
      </c>
      <c r="AT114" s="60">
        <f t="shared" si="140"/>
        <v>0</v>
      </c>
      <c r="AU114" s="60">
        <f t="shared" si="140"/>
        <v>0</v>
      </c>
      <c r="AV114" s="75">
        <f t="shared" si="156"/>
        <v>0</v>
      </c>
    </row>
    <row r="115" spans="1:48" x14ac:dyDescent="0.25">
      <c r="A115" s="22" t="s">
        <v>94</v>
      </c>
      <c r="B115" s="64">
        <v>1500</v>
      </c>
      <c r="C115" s="64"/>
      <c r="D115" s="64"/>
      <c r="E115" s="64"/>
      <c r="F115" s="75">
        <f t="shared" si="142"/>
        <v>1500</v>
      </c>
      <c r="H115" s="64">
        <v>1500</v>
      </c>
      <c r="I115" s="64"/>
      <c r="J115" s="64"/>
      <c r="K115" s="64"/>
      <c r="L115" s="75">
        <f t="shared" si="144"/>
        <v>1500</v>
      </c>
      <c r="N115" s="64">
        <v>5000</v>
      </c>
      <c r="O115" s="64"/>
      <c r="P115" s="64"/>
      <c r="Q115" s="64"/>
      <c r="R115" s="75">
        <f t="shared" si="146"/>
        <v>5000</v>
      </c>
      <c r="T115" s="64">
        <v>2500</v>
      </c>
      <c r="U115" s="64"/>
      <c r="V115" s="64"/>
      <c r="W115" s="64"/>
      <c r="X115" s="75">
        <f t="shared" si="148"/>
        <v>2500</v>
      </c>
      <c r="Y115" s="194"/>
      <c r="Z115" s="64">
        <v>2500</v>
      </c>
      <c r="AA115" s="64"/>
      <c r="AB115" s="64"/>
      <c r="AC115" s="64"/>
      <c r="AD115" s="75">
        <f t="shared" si="150"/>
        <v>2500</v>
      </c>
      <c r="AE115" s="194"/>
      <c r="AF115" s="64">
        <v>2500</v>
      </c>
      <c r="AG115" s="64"/>
      <c r="AH115" s="64"/>
      <c r="AI115" s="64"/>
      <c r="AJ115" s="75">
        <f t="shared" si="152"/>
        <v>2500</v>
      </c>
      <c r="AL115" s="91"/>
      <c r="AM115" s="91"/>
      <c r="AN115" s="91"/>
      <c r="AO115" s="91"/>
      <c r="AP115" s="75">
        <f t="shared" si="154"/>
        <v>0</v>
      </c>
      <c r="AR115" s="60">
        <f t="shared" si="155"/>
        <v>15500</v>
      </c>
      <c r="AS115" s="60">
        <f t="shared" si="140"/>
        <v>0</v>
      </c>
      <c r="AT115" s="60">
        <f t="shared" si="140"/>
        <v>0</v>
      </c>
      <c r="AU115" s="60">
        <f t="shared" si="140"/>
        <v>0</v>
      </c>
      <c r="AV115" s="75">
        <f t="shared" si="156"/>
        <v>15500</v>
      </c>
    </row>
    <row r="116" spans="1:48" x14ac:dyDescent="0.25">
      <c r="A116" s="27"/>
      <c r="B116" s="76">
        <f>SUM(B110:B115)</f>
        <v>763244.40819462505</v>
      </c>
      <c r="C116" s="76">
        <f t="shared" ref="C116:F116" si="167">SUM(C110:C115)</f>
        <v>116610.93382500001</v>
      </c>
      <c r="D116" s="76">
        <f t="shared" si="167"/>
        <v>73363</v>
      </c>
      <c r="E116" s="76">
        <f t="shared" si="167"/>
        <v>0</v>
      </c>
      <c r="F116" s="76">
        <f t="shared" si="167"/>
        <v>953218.34201962501</v>
      </c>
      <c r="H116" s="76">
        <f>SUM(H110:H115)</f>
        <v>799138.17096500006</v>
      </c>
      <c r="I116" s="76">
        <f t="shared" ref="I116:L116" si="168">SUM(I110:I115)</f>
        <v>116603.43382500001</v>
      </c>
      <c r="J116" s="76">
        <f t="shared" si="168"/>
        <v>73210.899999999994</v>
      </c>
      <c r="K116" s="76">
        <f t="shared" si="168"/>
        <v>0</v>
      </c>
      <c r="L116" s="76">
        <f t="shared" si="168"/>
        <v>988952.50478999992</v>
      </c>
      <c r="N116" s="76">
        <f>SUM(N110:N115)</f>
        <v>1433575.0393025</v>
      </c>
      <c r="O116" s="76">
        <f t="shared" ref="O116:R116" si="169">SUM(O110:O115)</f>
        <v>140488.567725</v>
      </c>
      <c r="P116" s="76">
        <f t="shared" si="169"/>
        <v>212613.40000000002</v>
      </c>
      <c r="Q116" s="76">
        <f t="shared" si="169"/>
        <v>0</v>
      </c>
      <c r="R116" s="76">
        <f t="shared" si="169"/>
        <v>1786677.0070275001</v>
      </c>
      <c r="T116" s="76">
        <f>SUM(T110:T115)</f>
        <v>159230.34325000001</v>
      </c>
      <c r="U116" s="76">
        <f t="shared" ref="U116:X116" si="170">SUM(U110:U115)</f>
        <v>0</v>
      </c>
      <c r="V116" s="76">
        <f t="shared" si="170"/>
        <v>4677.0749999999998</v>
      </c>
      <c r="W116" s="76">
        <f t="shared" si="170"/>
        <v>0</v>
      </c>
      <c r="X116" s="76">
        <f t="shared" si="170"/>
        <v>163907.41825000002</v>
      </c>
      <c r="Y116" s="199"/>
      <c r="Z116" s="76">
        <f>SUM(Z110:Z115)</f>
        <v>291103.09999999998</v>
      </c>
      <c r="AA116" s="76">
        <f t="shared" ref="AA116:AD116" si="171">SUM(AA110:AA115)</f>
        <v>0</v>
      </c>
      <c r="AB116" s="76">
        <f t="shared" si="171"/>
        <v>22564.75</v>
      </c>
      <c r="AC116" s="76">
        <f t="shared" si="171"/>
        <v>0</v>
      </c>
      <c r="AD116" s="76">
        <f t="shared" si="171"/>
        <v>313667.84999999998</v>
      </c>
      <c r="AE116" s="199"/>
      <c r="AF116" s="76">
        <f>SUM(AF110:AF115)</f>
        <v>281243.3</v>
      </c>
      <c r="AG116" s="76">
        <f t="shared" ref="AG116:AJ116" si="172">SUM(AG110:AG115)</f>
        <v>0</v>
      </c>
      <c r="AH116" s="76">
        <f t="shared" si="172"/>
        <v>24736</v>
      </c>
      <c r="AI116" s="76">
        <f t="shared" si="172"/>
        <v>0</v>
      </c>
      <c r="AJ116" s="76">
        <f t="shared" si="172"/>
        <v>305979.3</v>
      </c>
      <c r="AL116" s="76">
        <f>SUM(AL110:AL115)</f>
        <v>140546.25057500001</v>
      </c>
      <c r="AM116" s="76">
        <f t="shared" ref="AM116:AP116" si="173">SUM(AM110:AM115)</f>
        <v>169293.17358749997</v>
      </c>
      <c r="AN116" s="76">
        <f t="shared" si="173"/>
        <v>38541.672421875002</v>
      </c>
      <c r="AO116" s="76">
        <f t="shared" si="173"/>
        <v>107000</v>
      </c>
      <c r="AP116" s="76">
        <f t="shared" si="173"/>
        <v>455381.09658437502</v>
      </c>
      <c r="AR116" s="76">
        <f>SUM(AR110:AR115)</f>
        <v>3868080.6122871246</v>
      </c>
      <c r="AS116" s="76">
        <f t="shared" ref="AS116:AV116" si="174">SUM(AS110:AS115)</f>
        <v>542996.1089625</v>
      </c>
      <c r="AT116" s="76">
        <f t="shared" si="174"/>
        <v>449706.797421875</v>
      </c>
      <c r="AU116" s="76">
        <f t="shared" si="174"/>
        <v>107000</v>
      </c>
      <c r="AV116" s="76">
        <f t="shared" si="174"/>
        <v>4967783.5186714996</v>
      </c>
    </row>
    <row r="117" spans="1:48" x14ac:dyDescent="0.25">
      <c r="B117" s="77"/>
      <c r="C117" s="77"/>
      <c r="D117" s="77"/>
      <c r="E117" s="77"/>
      <c r="F117" s="77"/>
      <c r="H117" s="77"/>
      <c r="I117" s="77"/>
      <c r="J117" s="77"/>
      <c r="K117" s="77"/>
      <c r="L117" s="77"/>
      <c r="N117" s="77"/>
      <c r="O117" s="77"/>
      <c r="P117" s="77"/>
      <c r="Q117" s="77"/>
      <c r="R117" s="77"/>
      <c r="T117" s="77"/>
      <c r="U117" s="77"/>
      <c r="V117" s="77"/>
      <c r="W117" s="77"/>
      <c r="X117" s="77"/>
      <c r="Y117" s="79"/>
      <c r="Z117" s="77"/>
      <c r="AA117" s="77"/>
      <c r="AB117" s="77"/>
      <c r="AC117" s="77"/>
      <c r="AD117" s="77"/>
      <c r="AE117" s="79"/>
      <c r="AF117" s="77"/>
      <c r="AG117" s="77"/>
      <c r="AH117" s="77"/>
      <c r="AI117" s="77"/>
      <c r="AJ117" s="77"/>
      <c r="AL117" s="57"/>
      <c r="AM117" s="57"/>
      <c r="AN117" s="57"/>
      <c r="AO117" s="57"/>
      <c r="AP117" s="77"/>
      <c r="AR117" s="57"/>
      <c r="AS117" s="57"/>
      <c r="AT117" s="57"/>
      <c r="AU117" s="57"/>
      <c r="AV117" s="77"/>
    </row>
    <row r="118" spans="1:48" x14ac:dyDescent="0.25">
      <c r="A118" s="28"/>
      <c r="B118" s="78" t="s">
        <v>157</v>
      </c>
      <c r="C118" s="78" t="s">
        <v>158</v>
      </c>
      <c r="D118" s="78" t="s">
        <v>159</v>
      </c>
      <c r="E118" s="78" t="str">
        <f>E91</f>
        <v>Other</v>
      </c>
      <c r="F118" s="78" t="str">
        <f>F91</f>
        <v>FY28- Mtn</v>
      </c>
      <c r="H118" s="78" t="s">
        <v>157</v>
      </c>
      <c r="I118" s="78" t="s">
        <v>158</v>
      </c>
      <c r="J118" s="78" t="s">
        <v>159</v>
      </c>
      <c r="K118" s="78" t="str">
        <f>K91</f>
        <v>Other</v>
      </c>
      <c r="L118" s="78" t="str">
        <f>L91</f>
        <v>FY28- Bon</v>
      </c>
      <c r="N118" s="78" t="s">
        <v>157</v>
      </c>
      <c r="O118" s="78" t="s">
        <v>158</v>
      </c>
      <c r="P118" s="78" t="s">
        <v>159</v>
      </c>
      <c r="Q118" s="78" t="str">
        <f>Q91</f>
        <v>Other</v>
      </c>
      <c r="R118" s="78" t="str">
        <f>R91</f>
        <v>FY28- East</v>
      </c>
      <c r="T118" s="78" t="s">
        <v>157</v>
      </c>
      <c r="U118" s="78" t="s">
        <v>158</v>
      </c>
      <c r="V118" s="78" t="s">
        <v>159</v>
      </c>
      <c r="W118" s="78" t="str">
        <f>W91</f>
        <v>Other</v>
      </c>
      <c r="X118" s="78" t="str">
        <f>X91</f>
        <v>FY28- Cactus</v>
      </c>
      <c r="Y118" s="201"/>
      <c r="Z118" s="78" t="s">
        <v>157</v>
      </c>
      <c r="AA118" s="78" t="s">
        <v>158</v>
      </c>
      <c r="AB118" s="78" t="s">
        <v>159</v>
      </c>
      <c r="AC118" s="78" t="str">
        <f>AC91</f>
        <v>Other</v>
      </c>
      <c r="AD118" s="78" t="str">
        <f>AD91</f>
        <v>FY28- Sahara</v>
      </c>
      <c r="AE118" s="201"/>
      <c r="AF118" s="78" t="s">
        <v>157</v>
      </c>
      <c r="AG118" s="78" t="s">
        <v>158</v>
      </c>
      <c r="AH118" s="78" t="s">
        <v>159</v>
      </c>
      <c r="AI118" s="78" t="str">
        <f>AI91</f>
        <v>Other</v>
      </c>
      <c r="AJ118" s="78" t="str">
        <f>AJ91</f>
        <v>FY27- VV</v>
      </c>
      <c r="AL118" s="78" t="s">
        <v>157</v>
      </c>
      <c r="AM118" s="78" t="s">
        <v>158</v>
      </c>
      <c r="AN118" s="78" t="s">
        <v>159</v>
      </c>
      <c r="AO118" s="78" t="str">
        <f>AO91</f>
        <v>Grant</v>
      </c>
      <c r="AP118" s="78" t="str">
        <f>AP91</f>
        <v>FY28 - Central</v>
      </c>
      <c r="AR118" s="78" t="s">
        <v>157</v>
      </c>
      <c r="AS118" s="78" t="s">
        <v>158</v>
      </c>
      <c r="AT118" s="78" t="s">
        <v>159</v>
      </c>
      <c r="AU118" s="78" t="str">
        <f>AU91</f>
        <v>Other</v>
      </c>
      <c r="AV118" s="78" t="str">
        <f>AV91</f>
        <v>FY28- Sys</v>
      </c>
    </row>
    <row r="119" spans="1:48" x14ac:dyDescent="0.25">
      <c r="A119" s="20" t="s">
        <v>95</v>
      </c>
      <c r="B119" s="75">
        <f>(77250+77250)*1.01*1.01</f>
        <v>157605.45000000001</v>
      </c>
      <c r="C119" s="75"/>
      <c r="D119" s="75"/>
      <c r="E119" s="75"/>
      <c r="F119" s="75">
        <f>SUM(B119:E119)</f>
        <v>157605.45000000001</v>
      </c>
      <c r="H119" s="75">
        <f>(75000+26000)*1.01*1.01</f>
        <v>103030.1</v>
      </c>
      <c r="I119" s="75"/>
      <c r="J119" s="75"/>
      <c r="K119" s="75"/>
      <c r="L119" s="75">
        <f>SUM(H119:K119)</f>
        <v>103030.1</v>
      </c>
      <c r="N119" s="75">
        <f>(80350+77000+87850+72100)*1.01*1.01</f>
        <v>323677.73</v>
      </c>
      <c r="O119" s="75"/>
      <c r="P119" s="75"/>
      <c r="Q119" s="75"/>
      <c r="R119" s="75">
        <f>SUM(N119:Q119)</f>
        <v>323677.73</v>
      </c>
      <c r="T119" s="75">
        <f>80000*1.01*1.01</f>
        <v>81608</v>
      </c>
      <c r="U119" s="75"/>
      <c r="V119" s="75"/>
      <c r="W119" s="75"/>
      <c r="X119" s="75">
        <f>SUM(T119:W119)</f>
        <v>81608</v>
      </c>
      <c r="Y119" s="194"/>
      <c r="Z119" s="75">
        <f>80000*1.01</f>
        <v>80800</v>
      </c>
      <c r="AA119" s="75"/>
      <c r="AB119" s="75"/>
      <c r="AC119" s="75"/>
      <c r="AD119" s="75">
        <f>SUM(Z119:AC119)</f>
        <v>80800</v>
      </c>
      <c r="AE119" s="194"/>
      <c r="AF119" s="75">
        <v>0</v>
      </c>
      <c r="AG119" s="75"/>
      <c r="AH119" s="75"/>
      <c r="AI119" s="75"/>
      <c r="AJ119" s="75">
        <f>SUM(AF119:AI119)</f>
        <v>0</v>
      </c>
      <c r="AL119" s="75"/>
      <c r="AM119" s="75"/>
      <c r="AN119" s="75"/>
      <c r="AO119" s="75">
        <v>300000</v>
      </c>
      <c r="AP119" s="75">
        <f>SUM(AL119:AO119)</f>
        <v>300000</v>
      </c>
      <c r="AR119" s="75">
        <f>B119+H119+N119+T119+AL119+AF119+Z119</f>
        <v>746721.28000000003</v>
      </c>
      <c r="AS119" s="75">
        <f t="shared" ref="AS119:AU124" si="175">C119+I119+O119+U119+AM119+AG119+AA119</f>
        <v>0</v>
      </c>
      <c r="AT119" s="75">
        <f t="shared" si="175"/>
        <v>0</v>
      </c>
      <c r="AU119" s="75">
        <f t="shared" si="175"/>
        <v>300000</v>
      </c>
      <c r="AV119" s="75">
        <f>SUM(AR119:AU119)</f>
        <v>1046721.28</v>
      </c>
    </row>
    <row r="120" spans="1:48" x14ac:dyDescent="0.25">
      <c r="A120" s="21" t="s">
        <v>36</v>
      </c>
      <c r="B120" s="63">
        <f>85000*1.01*1.01</f>
        <v>86708.5</v>
      </c>
      <c r="C120" s="63"/>
      <c r="D120" s="63"/>
      <c r="E120" s="63"/>
      <c r="F120" s="75">
        <f t="shared" ref="F120:F124" si="176">SUM(B120:E120)</f>
        <v>86708.5</v>
      </c>
      <c r="H120" s="63">
        <f>77250*1.01*1.01</f>
        <v>78802.725000000006</v>
      </c>
      <c r="I120" s="63"/>
      <c r="J120" s="63"/>
      <c r="K120" s="63"/>
      <c r="L120" s="75">
        <f t="shared" ref="L120:L124" si="177">SUM(H120:K120)</f>
        <v>78802.725000000006</v>
      </c>
      <c r="N120" s="63">
        <f>77250*1.01*1.01</f>
        <v>78802.725000000006</v>
      </c>
      <c r="O120" s="63"/>
      <c r="P120" s="63"/>
      <c r="Q120" s="63"/>
      <c r="R120" s="75">
        <f t="shared" ref="R120:R124" si="178">SUM(N120:Q120)</f>
        <v>78802.725000000006</v>
      </c>
      <c r="T120" s="63"/>
      <c r="U120" s="63"/>
      <c r="V120" s="63"/>
      <c r="W120" s="63"/>
      <c r="X120" s="75">
        <f t="shared" ref="X120:X124" si="179">SUM(T120:W120)</f>
        <v>0</v>
      </c>
      <c r="Y120" s="194"/>
      <c r="Z120" s="63"/>
      <c r="AA120" s="63"/>
      <c r="AB120" s="63"/>
      <c r="AC120" s="63"/>
      <c r="AD120" s="75">
        <f t="shared" ref="AD120:AD124" si="180">SUM(Z120:AC120)</f>
        <v>0</v>
      </c>
      <c r="AE120" s="194"/>
      <c r="AF120" s="63">
        <v>82000</v>
      </c>
      <c r="AG120" s="63"/>
      <c r="AH120" s="63"/>
      <c r="AI120" s="63"/>
      <c r="AJ120" s="75">
        <f t="shared" ref="AJ120:AJ124" si="181">SUM(AF120:AI120)</f>
        <v>82000</v>
      </c>
      <c r="AL120" s="63"/>
      <c r="AM120" s="63"/>
      <c r="AN120" s="63"/>
      <c r="AO120" s="63">
        <v>185000</v>
      </c>
      <c r="AP120" s="75">
        <f t="shared" ref="AP120:AP124" si="182">SUM(AL120:AO120)</f>
        <v>185000</v>
      </c>
      <c r="AR120" s="75">
        <f t="shared" ref="AR120:AR124" si="183">B120+H120+N120+T120+AL120+AF120+Z120</f>
        <v>326313.95</v>
      </c>
      <c r="AS120" s="75">
        <f t="shared" si="175"/>
        <v>0</v>
      </c>
      <c r="AT120" s="75">
        <f t="shared" si="175"/>
        <v>0</v>
      </c>
      <c r="AU120" s="75">
        <f t="shared" si="175"/>
        <v>185000</v>
      </c>
      <c r="AV120" s="75">
        <f t="shared" ref="AV120:AV124" si="184">SUM(AR120:AU120)</f>
        <v>511313.95</v>
      </c>
    </row>
    <row r="121" spans="1:48" x14ac:dyDescent="0.25">
      <c r="A121" s="21" t="s">
        <v>96</v>
      </c>
      <c r="B121" s="63">
        <f>68900*B36</f>
        <v>3100500</v>
      </c>
      <c r="C121" s="63"/>
      <c r="D121" s="63"/>
      <c r="E121" s="63"/>
      <c r="F121" s="75">
        <f t="shared" si="176"/>
        <v>3100500</v>
      </c>
      <c r="H121" s="63">
        <f>67425*H36</f>
        <v>3034125</v>
      </c>
      <c r="I121" s="63"/>
      <c r="J121" s="63"/>
      <c r="K121" s="63"/>
      <c r="L121" s="75">
        <f t="shared" si="177"/>
        <v>3034125</v>
      </c>
      <c r="N121" s="63">
        <f>67400*N36+8000</f>
        <v>6815400</v>
      </c>
      <c r="O121" s="63"/>
      <c r="P121" s="63"/>
      <c r="Q121" s="63"/>
      <c r="R121" s="75">
        <f t="shared" si="178"/>
        <v>6815400</v>
      </c>
      <c r="T121" s="63">
        <f>59000*T36</f>
        <v>1357000</v>
      </c>
      <c r="U121" s="63"/>
      <c r="V121" s="63"/>
      <c r="W121" s="63"/>
      <c r="X121" s="75">
        <f t="shared" si="179"/>
        <v>1357000</v>
      </c>
      <c r="Y121" s="194"/>
      <c r="Z121" s="63">
        <f>57700*Z36</f>
        <v>1471350</v>
      </c>
      <c r="AA121" s="63"/>
      <c r="AB121" s="63"/>
      <c r="AC121" s="63"/>
      <c r="AD121" s="75">
        <f t="shared" si="180"/>
        <v>1471350</v>
      </c>
      <c r="AE121" s="194"/>
      <c r="AF121" s="63">
        <f>56250*AF36</f>
        <v>1800000</v>
      </c>
      <c r="AG121" s="63"/>
      <c r="AH121" s="63"/>
      <c r="AI121" s="63"/>
      <c r="AJ121" s="75">
        <f t="shared" si="181"/>
        <v>1800000</v>
      </c>
      <c r="AL121" s="63"/>
      <c r="AM121" s="63"/>
      <c r="AN121" s="63"/>
      <c r="AO121" s="63"/>
      <c r="AP121" s="75">
        <f t="shared" si="182"/>
        <v>0</v>
      </c>
      <c r="AR121" s="75">
        <f t="shared" si="183"/>
        <v>17578375</v>
      </c>
      <c r="AS121" s="75">
        <f t="shared" si="175"/>
        <v>0</v>
      </c>
      <c r="AT121" s="75">
        <f t="shared" si="175"/>
        <v>0</v>
      </c>
      <c r="AU121" s="75">
        <f t="shared" si="175"/>
        <v>0</v>
      </c>
      <c r="AV121" s="75">
        <f t="shared" si="184"/>
        <v>17578375</v>
      </c>
    </row>
    <row r="122" spans="1:48" x14ac:dyDescent="0.25">
      <c r="A122" s="21" t="s">
        <v>24</v>
      </c>
      <c r="B122" s="63"/>
      <c r="C122" s="63">
        <f>68900*C28</f>
        <v>344500</v>
      </c>
      <c r="D122" s="63"/>
      <c r="E122" s="63"/>
      <c r="F122" s="75">
        <f t="shared" si="176"/>
        <v>344500</v>
      </c>
      <c r="H122" s="63"/>
      <c r="I122" s="63">
        <f>67425*I28</f>
        <v>269700</v>
      </c>
      <c r="J122" s="63"/>
      <c r="K122" s="63"/>
      <c r="L122" s="75">
        <f t="shared" si="177"/>
        <v>269700</v>
      </c>
      <c r="N122" s="63"/>
      <c r="O122" s="63">
        <f>67400*O28</f>
        <v>943600</v>
      </c>
      <c r="P122" s="63"/>
      <c r="Q122" s="63"/>
      <c r="R122" s="75">
        <f t="shared" si="178"/>
        <v>943600</v>
      </c>
      <c r="T122" s="63"/>
      <c r="U122" s="63">
        <f>61500*U28</f>
        <v>184500</v>
      </c>
      <c r="V122" s="63"/>
      <c r="W122" s="63"/>
      <c r="X122" s="75">
        <f t="shared" si="179"/>
        <v>184500</v>
      </c>
      <c r="Y122" s="194"/>
      <c r="Z122" s="63"/>
      <c r="AA122" s="63">
        <f>60700*AA28</f>
        <v>182100</v>
      </c>
      <c r="AB122" s="63"/>
      <c r="AC122" s="63"/>
      <c r="AD122" s="75">
        <f t="shared" si="180"/>
        <v>182100</v>
      </c>
      <c r="AE122" s="194"/>
      <c r="AF122" s="63"/>
      <c r="AG122" s="63">
        <f>60000*AG28</f>
        <v>240000</v>
      </c>
      <c r="AH122" s="63"/>
      <c r="AI122" s="63"/>
      <c r="AJ122" s="75">
        <f t="shared" si="181"/>
        <v>240000</v>
      </c>
      <c r="AL122" s="63"/>
      <c r="AM122" s="63"/>
      <c r="AN122" s="63"/>
      <c r="AO122" s="63"/>
      <c r="AP122" s="75">
        <f t="shared" si="182"/>
        <v>0</v>
      </c>
      <c r="AR122" s="75">
        <f t="shared" si="183"/>
        <v>0</v>
      </c>
      <c r="AS122" s="75">
        <f t="shared" si="175"/>
        <v>2164400</v>
      </c>
      <c r="AT122" s="75">
        <f t="shared" si="175"/>
        <v>0</v>
      </c>
      <c r="AU122" s="75">
        <f t="shared" si="175"/>
        <v>0</v>
      </c>
      <c r="AV122" s="75">
        <f t="shared" si="184"/>
        <v>2164400</v>
      </c>
    </row>
    <row r="123" spans="1:48" x14ac:dyDescent="0.25">
      <c r="A123" s="21" t="s">
        <v>97</v>
      </c>
      <c r="B123" s="63">
        <f>(21.5*8*180)*B50</f>
        <v>278640</v>
      </c>
      <c r="C123" s="63">
        <f>(21.5*8*180)*C50</f>
        <v>154800</v>
      </c>
      <c r="D123" s="63"/>
      <c r="E123" s="63">
        <f>(20.25*8*180)*E50</f>
        <v>0</v>
      </c>
      <c r="F123" s="75">
        <f t="shared" si="176"/>
        <v>433440</v>
      </c>
      <c r="H123" s="63">
        <f>(21.5*8*180)*H50</f>
        <v>278640</v>
      </c>
      <c r="I123" s="63">
        <f>(21.5*8*180)*I50</f>
        <v>170280</v>
      </c>
      <c r="J123" s="63"/>
      <c r="K123" s="63">
        <f>(20.25*8*180)*K50</f>
        <v>0</v>
      </c>
      <c r="L123" s="75">
        <f t="shared" si="177"/>
        <v>448920</v>
      </c>
      <c r="N123" s="63">
        <f>(21.5*8*180)*N50</f>
        <v>340560</v>
      </c>
      <c r="O123" s="63">
        <f>(21.5*8*180)*O50</f>
        <v>433440</v>
      </c>
      <c r="P123" s="63"/>
      <c r="Q123" s="63">
        <f>(20.25*8*180)*Q50</f>
        <v>0</v>
      </c>
      <c r="R123" s="75">
        <f t="shared" si="178"/>
        <v>774000</v>
      </c>
      <c r="T123" s="63">
        <f>20.5*8*185*T50</f>
        <v>106190</v>
      </c>
      <c r="U123" s="63">
        <f>20.5*8*185*U50</f>
        <v>91020</v>
      </c>
      <c r="V123" s="63">
        <f t="shared" ref="V123:W123" si="185">20*8*185*V50</f>
        <v>0</v>
      </c>
      <c r="W123" s="63">
        <f t="shared" si="185"/>
        <v>0</v>
      </c>
      <c r="X123" s="75">
        <f t="shared" si="179"/>
        <v>197210</v>
      </c>
      <c r="Y123" s="194"/>
      <c r="Z123" s="63">
        <f>21.25*8*185*Z50</f>
        <v>47175</v>
      </c>
      <c r="AA123" s="63">
        <f>21.25*8*185*AA50</f>
        <v>94350</v>
      </c>
      <c r="AB123" s="63">
        <f t="shared" ref="AB123:AC123" si="186">20*8*185*AB50</f>
        <v>0</v>
      </c>
      <c r="AC123" s="63">
        <f t="shared" si="186"/>
        <v>0</v>
      </c>
      <c r="AD123" s="75">
        <f t="shared" si="180"/>
        <v>141525</v>
      </c>
      <c r="AE123" s="194"/>
      <c r="AF123" s="63">
        <f>20.25*8*185*AF50</f>
        <v>29970</v>
      </c>
      <c r="AG123" s="63">
        <f>20.25*8*185*AG50</f>
        <v>119880</v>
      </c>
      <c r="AH123" s="63">
        <v>0</v>
      </c>
      <c r="AI123" s="63">
        <f t="shared" ref="AI123" si="187">20*8*185*AI50</f>
        <v>0</v>
      </c>
      <c r="AJ123" s="75">
        <f t="shared" si="181"/>
        <v>149850</v>
      </c>
      <c r="AL123" s="63">
        <f>(45000+(20*8*220))*1.01*1.01</f>
        <v>81812.02</v>
      </c>
      <c r="AM123" s="63"/>
      <c r="AN123" s="63"/>
      <c r="AO123" s="63">
        <v>600000</v>
      </c>
      <c r="AP123" s="75">
        <f t="shared" si="182"/>
        <v>681812.02</v>
      </c>
      <c r="AR123" s="75">
        <f t="shared" si="183"/>
        <v>1162987.02</v>
      </c>
      <c r="AS123" s="75">
        <f t="shared" si="175"/>
        <v>1063770</v>
      </c>
      <c r="AT123" s="75">
        <f t="shared" si="175"/>
        <v>0</v>
      </c>
      <c r="AU123" s="75">
        <f t="shared" si="175"/>
        <v>600000</v>
      </c>
      <c r="AV123" s="75">
        <f t="shared" si="184"/>
        <v>2826757.02</v>
      </c>
    </row>
    <row r="124" spans="1:48" x14ac:dyDescent="0.25">
      <c r="A124" s="22" t="s">
        <v>54</v>
      </c>
      <c r="B124" s="64">
        <f>185*180*B59</f>
        <v>66600</v>
      </c>
      <c r="C124" s="64"/>
      <c r="D124" s="64"/>
      <c r="E124" s="64"/>
      <c r="F124" s="75">
        <f t="shared" si="176"/>
        <v>66600</v>
      </c>
      <c r="H124" s="64">
        <f>185*180*H59</f>
        <v>33300</v>
      </c>
      <c r="I124" s="64"/>
      <c r="J124" s="64"/>
      <c r="K124" s="64"/>
      <c r="L124" s="75">
        <f t="shared" si="177"/>
        <v>33300</v>
      </c>
      <c r="N124" s="64">
        <f>185*180*N59</f>
        <v>99900</v>
      </c>
      <c r="O124" s="64"/>
      <c r="P124" s="64"/>
      <c r="Q124" s="64"/>
      <c r="R124" s="75">
        <f t="shared" si="178"/>
        <v>99900</v>
      </c>
      <c r="T124" s="64">
        <f>175*180*T59</f>
        <v>0</v>
      </c>
      <c r="U124" s="64"/>
      <c r="V124" s="64"/>
      <c r="W124" s="64"/>
      <c r="X124" s="75">
        <f t="shared" si="179"/>
        <v>0</v>
      </c>
      <c r="Y124" s="194"/>
      <c r="Z124" s="64">
        <f>175*180*Z59</f>
        <v>0</v>
      </c>
      <c r="AA124" s="64"/>
      <c r="AB124" s="64"/>
      <c r="AC124" s="64"/>
      <c r="AD124" s="75">
        <f t="shared" si="180"/>
        <v>0</v>
      </c>
      <c r="AE124" s="194"/>
      <c r="AF124" s="64">
        <f>175*180*AF59</f>
        <v>0</v>
      </c>
      <c r="AG124" s="64"/>
      <c r="AH124" s="64"/>
      <c r="AI124" s="64"/>
      <c r="AJ124" s="75">
        <f t="shared" si="181"/>
        <v>0</v>
      </c>
      <c r="AL124" s="64"/>
      <c r="AM124" s="64"/>
      <c r="AN124" s="64"/>
      <c r="AO124" s="64"/>
      <c r="AP124" s="75">
        <f t="shared" si="182"/>
        <v>0</v>
      </c>
      <c r="AR124" s="75">
        <f t="shared" si="183"/>
        <v>199800</v>
      </c>
      <c r="AS124" s="75">
        <f t="shared" si="175"/>
        <v>0</v>
      </c>
      <c r="AT124" s="75">
        <f t="shared" si="175"/>
        <v>0</v>
      </c>
      <c r="AU124" s="75">
        <f t="shared" si="175"/>
        <v>0</v>
      </c>
      <c r="AV124" s="75">
        <f t="shared" si="184"/>
        <v>199800</v>
      </c>
    </row>
    <row r="125" spans="1:48" x14ac:dyDescent="0.25">
      <c r="A125" s="29"/>
      <c r="B125" s="76">
        <f t="shared" ref="B125:E125" si="188">SUM(B119:B124)</f>
        <v>3690053.95</v>
      </c>
      <c r="C125" s="76">
        <f t="shared" si="188"/>
        <v>499300</v>
      </c>
      <c r="D125" s="76">
        <f t="shared" si="188"/>
        <v>0</v>
      </c>
      <c r="E125" s="76">
        <f t="shared" si="188"/>
        <v>0</v>
      </c>
      <c r="F125" s="76">
        <f t="shared" ref="F125" si="189">SUM(F119:F124)</f>
        <v>4189353.95</v>
      </c>
      <c r="H125" s="76">
        <f t="shared" ref="H125:L125" si="190">SUM(H119:H124)</f>
        <v>3527897.8250000002</v>
      </c>
      <c r="I125" s="76">
        <f t="shared" si="190"/>
        <v>439980</v>
      </c>
      <c r="J125" s="76">
        <f t="shared" si="190"/>
        <v>0</v>
      </c>
      <c r="K125" s="76">
        <f t="shared" si="190"/>
        <v>0</v>
      </c>
      <c r="L125" s="76">
        <f t="shared" si="190"/>
        <v>3967877.8250000002</v>
      </c>
      <c r="N125" s="76">
        <f t="shared" ref="N125:R125" si="191">SUM(N119:N124)</f>
        <v>7658340.4550000001</v>
      </c>
      <c r="O125" s="76">
        <f t="shared" si="191"/>
        <v>1377040</v>
      </c>
      <c r="P125" s="76">
        <f t="shared" si="191"/>
        <v>0</v>
      </c>
      <c r="Q125" s="76">
        <f t="shared" si="191"/>
        <v>0</v>
      </c>
      <c r="R125" s="76">
        <f t="shared" si="191"/>
        <v>9035380.4550000001</v>
      </c>
      <c r="T125" s="76">
        <f t="shared" ref="T125:W125" si="192">SUM(T119:T124)</f>
        <v>1544798</v>
      </c>
      <c r="U125" s="76">
        <f t="shared" si="192"/>
        <v>275520</v>
      </c>
      <c r="V125" s="76">
        <f t="shared" si="192"/>
        <v>0</v>
      </c>
      <c r="W125" s="76">
        <f t="shared" si="192"/>
        <v>0</v>
      </c>
      <c r="X125" s="76">
        <f t="shared" ref="X125" si="193">SUM(X119:X124)</f>
        <v>1820318</v>
      </c>
      <c r="Y125" s="199"/>
      <c r="Z125" s="76">
        <f t="shared" ref="Z125:AD125" si="194">SUM(Z119:Z124)</f>
        <v>1599325</v>
      </c>
      <c r="AA125" s="76">
        <f t="shared" si="194"/>
        <v>276450</v>
      </c>
      <c r="AB125" s="76">
        <f t="shared" si="194"/>
        <v>0</v>
      </c>
      <c r="AC125" s="76">
        <f t="shared" si="194"/>
        <v>0</v>
      </c>
      <c r="AD125" s="76">
        <f t="shared" si="194"/>
        <v>1875775</v>
      </c>
      <c r="AE125" s="199"/>
      <c r="AF125" s="76">
        <f t="shared" ref="AF125:AJ125" si="195">SUM(AF119:AF124)</f>
        <v>1911970</v>
      </c>
      <c r="AG125" s="76">
        <f t="shared" si="195"/>
        <v>359880</v>
      </c>
      <c r="AH125" s="76">
        <f t="shared" si="195"/>
        <v>0</v>
      </c>
      <c r="AI125" s="76">
        <f t="shared" si="195"/>
        <v>0</v>
      </c>
      <c r="AJ125" s="76">
        <f t="shared" si="195"/>
        <v>2271850</v>
      </c>
      <c r="AL125" s="76">
        <f t="shared" ref="AL125:AO125" si="196">SUM(AL119:AL124)</f>
        <v>81812.02</v>
      </c>
      <c r="AM125" s="76">
        <f t="shared" si="196"/>
        <v>0</v>
      </c>
      <c r="AN125" s="76">
        <f t="shared" si="196"/>
        <v>0</v>
      </c>
      <c r="AO125" s="76">
        <f t="shared" si="196"/>
        <v>1085000</v>
      </c>
      <c r="AP125" s="76">
        <f t="shared" ref="AP125" si="197">SUM(AP119:AP124)</f>
        <v>1166812.02</v>
      </c>
      <c r="AR125" s="76">
        <f t="shared" ref="AR125:AV125" si="198">SUM(AR119:AR124)</f>
        <v>20014197.25</v>
      </c>
      <c r="AS125" s="76">
        <f t="shared" si="198"/>
        <v>3228170</v>
      </c>
      <c r="AT125" s="76">
        <f t="shared" si="198"/>
        <v>0</v>
      </c>
      <c r="AU125" s="76">
        <f t="shared" si="198"/>
        <v>1085000</v>
      </c>
      <c r="AV125" s="76">
        <f t="shared" si="198"/>
        <v>24327367.25</v>
      </c>
    </row>
    <row r="126" spans="1:48" x14ac:dyDescent="0.25">
      <c r="A126" s="20" t="s">
        <v>252</v>
      </c>
      <c r="B126" s="75">
        <f>B125*0.3775</f>
        <v>1392995.3661250002</v>
      </c>
      <c r="C126" s="75">
        <f t="shared" ref="C126:E126" si="199">C125*0.3775</f>
        <v>188485.75</v>
      </c>
      <c r="D126" s="75">
        <f t="shared" si="199"/>
        <v>0</v>
      </c>
      <c r="E126" s="75">
        <f t="shared" si="199"/>
        <v>0</v>
      </c>
      <c r="F126" s="75">
        <f>SUM(B126:E126)</f>
        <v>1581481.1161250002</v>
      </c>
      <c r="H126" s="75">
        <f>H125*0.3775</f>
        <v>1331781.4289375001</v>
      </c>
      <c r="I126" s="75">
        <f t="shared" ref="I126" si="200">I125*0.3775</f>
        <v>166092.45000000001</v>
      </c>
      <c r="J126" s="75">
        <f t="shared" ref="J126" si="201">J125*0.3775</f>
        <v>0</v>
      </c>
      <c r="K126" s="75">
        <f t="shared" ref="K126" si="202">K125*0.3725</f>
        <v>0</v>
      </c>
      <c r="L126" s="75">
        <f>SUM(H126:K126)</f>
        <v>1497873.8789375001</v>
      </c>
      <c r="N126" s="75">
        <f>N125*0.3775</f>
        <v>2891023.5217625001</v>
      </c>
      <c r="O126" s="75">
        <f t="shared" ref="O126:P126" si="203">O125*0.3775</f>
        <v>519832.6</v>
      </c>
      <c r="P126" s="75">
        <f t="shared" si="203"/>
        <v>0</v>
      </c>
      <c r="Q126" s="75">
        <f t="shared" ref="Q126" si="204">Q125*0.3675</f>
        <v>0</v>
      </c>
      <c r="R126" s="75">
        <f>SUM(N126:Q126)</f>
        <v>3410856.1217625001</v>
      </c>
      <c r="T126" s="75">
        <f>T125*0.3775</f>
        <v>583161.245</v>
      </c>
      <c r="U126" s="75">
        <f t="shared" ref="U126:W126" si="205">U125*0.3775</f>
        <v>104008.8</v>
      </c>
      <c r="V126" s="75">
        <f t="shared" si="205"/>
        <v>0</v>
      </c>
      <c r="W126" s="75">
        <f t="shared" si="205"/>
        <v>0</v>
      </c>
      <c r="X126" s="75">
        <f>SUM(T126:W126)</f>
        <v>687170.04500000004</v>
      </c>
      <c r="Y126" s="194"/>
      <c r="Z126" s="75">
        <f>Z125*0.3775</f>
        <v>603745.1875</v>
      </c>
      <c r="AA126" s="75">
        <f t="shared" ref="AA126" si="206">AA125*0.3775</f>
        <v>104359.875</v>
      </c>
      <c r="AB126" s="75">
        <f t="shared" ref="AB126:AC126" si="207">AB125*0.3725</f>
        <v>0</v>
      </c>
      <c r="AC126" s="75">
        <f t="shared" si="207"/>
        <v>0</v>
      </c>
      <c r="AD126" s="75">
        <f>SUM(Z126:AC126)</f>
        <v>708105.0625</v>
      </c>
      <c r="AE126" s="194"/>
      <c r="AF126" s="75">
        <f>AF125*0.3725</f>
        <v>712208.82499999995</v>
      </c>
      <c r="AG126" s="75">
        <f t="shared" ref="AG126:AI126" si="208">AG125*0.3725</f>
        <v>134055.29999999999</v>
      </c>
      <c r="AH126" s="75">
        <f t="shared" si="208"/>
        <v>0</v>
      </c>
      <c r="AI126" s="75">
        <f t="shared" si="208"/>
        <v>0</v>
      </c>
      <c r="AJ126" s="75">
        <f>SUM(AF126:AI126)</f>
        <v>846264.125</v>
      </c>
      <c r="AL126" s="75">
        <f>AL125*0.3775</f>
        <v>30884.037550000001</v>
      </c>
      <c r="AM126" s="75">
        <f t="shared" ref="AM126:AN126" si="209">AM125*0.3775</f>
        <v>0</v>
      </c>
      <c r="AN126" s="75">
        <f t="shared" si="209"/>
        <v>0</v>
      </c>
      <c r="AO126" s="75">
        <f t="shared" ref="AO126" si="210">AO125*0.3675</f>
        <v>398737.5</v>
      </c>
      <c r="AP126" s="75">
        <f>SUM(AL126:AO126)</f>
        <v>429621.53755000001</v>
      </c>
      <c r="AR126" s="75">
        <f>B126+H126+N126+T126+AL126+AF126+Z126</f>
        <v>7545799.6118750004</v>
      </c>
      <c r="AS126" s="75">
        <f t="shared" ref="AS126:AU131" si="211">C126+I126+O126+U126+AM126+AG126+AA126</f>
        <v>1216834.7750000001</v>
      </c>
      <c r="AT126" s="75">
        <f t="shared" si="211"/>
        <v>0</v>
      </c>
      <c r="AU126" s="75">
        <f t="shared" si="211"/>
        <v>398737.5</v>
      </c>
      <c r="AV126" s="75">
        <f>SUM(AR126:AU126)</f>
        <v>9161371.8868749999</v>
      </c>
    </row>
    <row r="127" spans="1:48" x14ac:dyDescent="0.25">
      <c r="A127" s="21" t="s">
        <v>90</v>
      </c>
      <c r="B127" s="61">
        <f>(((9875*(B63*0.9))+((215*(B63*0.875))+((90*(B63*0.85))+(B65*15)+(B125*0.015)+(B125*0.03)))))-2500</f>
        <v>686401.05275000003</v>
      </c>
      <c r="C127" s="61">
        <f>(((9875*(C63*0.875))+((215*(C63*0.875))+((90*(C63*0.85))+(C65*15)+(C125*0.015)+(C125*0.03)))))</f>
        <v>111708.5</v>
      </c>
      <c r="D127" s="61">
        <f>(((8975*(D63*0.85))+((200*(D63*0.85))+((80*(D63*0.85))+(D63*10)+(D125*0.015)+(D125*0.03)))))</f>
        <v>0</v>
      </c>
      <c r="E127" s="61">
        <f t="shared" ref="E127" si="212">(((8150*(E63*0.85))+((185*(E63*0.85))+((75*(E63*0.85))+(E65*7)+(E125*0.015)+(E125*0.03)))))</f>
        <v>0</v>
      </c>
      <c r="F127" s="75">
        <f t="shared" ref="F127:F131" si="213">SUM(B127:E127)</f>
        <v>798109.55275000003</v>
      </c>
      <c r="H127" s="61">
        <f>(((9875*(H63*0.9))+((215*(H63*0.875))+((90*(H63*0.85))+(H65*15)+(H125*0.015)+(H125*0.03)))))-2500</f>
        <v>674482.96462500002</v>
      </c>
      <c r="I127" s="61">
        <f>(((9875*(I63*0.875))+((215*(I63*0.875))+((90*(I63*0.85))+(I65*15)+(I125*0.015)+(I125*0.03)))))</f>
        <v>104578.97500000001</v>
      </c>
      <c r="J127" s="61">
        <f>(((8975*(J63*0.85))+((200*(J63*0.85))+((80*(J63*0.85))+(J63*10)+(J125*0.015)+(J125*0.03)))))</f>
        <v>0</v>
      </c>
      <c r="K127" s="61">
        <f t="shared" ref="K127" si="214">(((8150*(K63*0.85))+((185*(K63*0.85))+((75*(K63*0.85))+(K65*7)+(K125*0.015)+(K125*0.03)))))</f>
        <v>0</v>
      </c>
      <c r="L127" s="75">
        <f t="shared" ref="L127:L131" si="215">SUM(H127:K127)</f>
        <v>779061.939625</v>
      </c>
      <c r="N127" s="61">
        <f>(((9875*(N63*0.9))+((215*(N63*0.875))+((90*(N63*0.85))+(N65*15)+(N125*0.015)+(N125*0.03)))))-2500</f>
        <v>1415278.945475</v>
      </c>
      <c r="O127" s="61">
        <f>(((9875*(O63*0.875))+((215*(O63*0.875))+((90*(O63*0.85))+(O65*15)+(O125*0.015)+(O125*0.03)))))</f>
        <v>311778.8</v>
      </c>
      <c r="P127" s="61">
        <f>(((8975*(P63*0.85))+((200*(P63*0.85))+((80*(P63*0.85))+(P63*10)+(P125*0.015)+(P125*0.03)))))</f>
        <v>0</v>
      </c>
      <c r="Q127" s="61">
        <f t="shared" ref="Q127" si="216">(((8150*(Q63*0.85))+((185*(Q63*0.85))+((75*(Q63*0.85))+(Q65*7)+(Q125*0.015)+(Q125*0.03)))))</f>
        <v>0</v>
      </c>
      <c r="R127" s="75">
        <f t="shared" ref="R127:R131" si="217">SUM(N127:Q127)</f>
        <v>1727057.745475</v>
      </c>
      <c r="T127" s="61">
        <f>(((9875*(T63*0.85))+((215*(T63*0.85))+((90*(T63*0.85))+(T65*15)+(T125*0.015)+(T125*0.03)))))</f>
        <v>307960.90999999997</v>
      </c>
      <c r="U127" s="61">
        <f t="shared" ref="U127:W127" si="218">(((9875*(U63*0.85))+((215*(U63*0.85))+((90*(U63*0.85))+(U65*15)+(U125*0.015)+(U125*0.03)))))</f>
        <v>64406.400000000001</v>
      </c>
      <c r="V127" s="61">
        <f t="shared" si="218"/>
        <v>0</v>
      </c>
      <c r="W127" s="61">
        <f t="shared" si="218"/>
        <v>0</v>
      </c>
      <c r="X127" s="75">
        <f t="shared" ref="X127:X131" si="219">SUM(T127:W127)</f>
        <v>372367.31</v>
      </c>
      <c r="Y127" s="194"/>
      <c r="Z127" s="61">
        <f>(((9875*(Z63*0.85))+((215*(Z63*0.85))+((90*(Z63*0.85))+(Z65*15)+(Z125*0.015)+(Z125*0.03)))))</f>
        <v>314793.625</v>
      </c>
      <c r="AA127" s="61">
        <f t="shared" ref="AA127" si="220">(((9875*(AA63*0.85))+((215*(AA63*0.85))+((90*(AA63*0.85))+(AA65*15)+(AA125*0.015)+(AA125*0.03)))))</f>
        <v>64448.25</v>
      </c>
      <c r="AB127" s="61">
        <f>(((8975*(AB63*0.85))+((200*(AB63*0.85))+((80*(AB63*0.85))+(AB65*10)+(AB125*0.015)+(AB125*0.03)))))-10</f>
        <v>0</v>
      </c>
      <c r="AC127" s="61">
        <f t="shared" ref="AC127" si="221">(((8975*(AC63*0.85))+((200*(AC63*0.85))+((80*(AC63*0.85))+(AC65*10)+(AC125*0.015)+(AC125*0.03)))))</f>
        <v>0</v>
      </c>
      <c r="AD127" s="75">
        <f t="shared" ref="AD127:AD131" si="222">SUM(Z127:AC127)</f>
        <v>379241.875</v>
      </c>
      <c r="AE127" s="194"/>
      <c r="AF127" s="61">
        <f>(((8975*(AF63*0.85))+((200*(AF63*0.85))+((80*(AF63*0.85))+(AF65*10)+(AF125*0.015)+(AF125*0.03)))))</f>
        <v>353928.15</v>
      </c>
      <c r="AG127" s="61">
        <f t="shared" ref="AG127:AI127" si="223">(((8975*(AG63*0.85))+((200*(AG63*0.85))+((80*(AG63*0.85))+(AG65*10)+(AG125*0.015)+(AG125*0.03)))))</f>
        <v>79208.600000000006</v>
      </c>
      <c r="AH127" s="61">
        <f t="shared" si="223"/>
        <v>15753.5</v>
      </c>
      <c r="AI127" s="61">
        <f t="shared" si="223"/>
        <v>0</v>
      </c>
      <c r="AJ127" s="75">
        <f t="shared" ref="AJ127:AJ131" si="224">SUM(AF127:AI127)</f>
        <v>448890.25</v>
      </c>
      <c r="AL127" s="63">
        <f>AL125*0.18</f>
        <v>14726.1636</v>
      </c>
      <c r="AM127" s="63">
        <f t="shared" ref="AM127:AN127" si="225">AM125*0.18</f>
        <v>0</v>
      </c>
      <c r="AN127" s="63">
        <f t="shared" si="225"/>
        <v>0</v>
      </c>
      <c r="AO127" s="63">
        <f>AO125*0.15</f>
        <v>162750</v>
      </c>
      <c r="AP127" s="75">
        <f t="shared" ref="AP127:AP131" si="226">SUM(AL127:AO127)</f>
        <v>177476.1636</v>
      </c>
      <c r="AR127" s="75">
        <f t="shared" ref="AR127:AR131" si="227">B127+H127+N127+T127+AL127+AF127+Z127</f>
        <v>3767571.8114499999</v>
      </c>
      <c r="AS127" s="75">
        <f t="shared" si="211"/>
        <v>736129.52500000002</v>
      </c>
      <c r="AT127" s="75">
        <f t="shared" si="211"/>
        <v>15753.5</v>
      </c>
      <c r="AU127" s="75">
        <f t="shared" si="211"/>
        <v>162750</v>
      </c>
      <c r="AV127" s="75">
        <f t="shared" ref="AV127:AV131" si="228">SUM(AR127:AU127)</f>
        <v>4682204.8364500003</v>
      </c>
    </row>
    <row r="128" spans="1:48" x14ac:dyDescent="0.25">
      <c r="A128" s="21" t="s">
        <v>91</v>
      </c>
      <c r="B128" s="61">
        <f>((1250*B36)+((1500*(B41+B43))+(500*B50)+(1250*B59)))+(1000*8)</f>
        <v>75750</v>
      </c>
      <c r="C128" s="61">
        <f t="shared" ref="C128" si="229">((1250*C36)+((1500*(C41+C43))+(500*C50)+(1250*C59)))+(1000*5)</f>
        <v>13750</v>
      </c>
      <c r="D128" s="61">
        <f>((1250*D36)+((1500*(D41+D43))+(500*D50)+(1250*D59)))</f>
        <v>0</v>
      </c>
      <c r="E128" s="61">
        <f>((1250*E36)+((1500*(E41+E43))+(500*E50)+(1250*E59)))</f>
        <v>0</v>
      </c>
      <c r="F128" s="75">
        <f t="shared" si="213"/>
        <v>89500</v>
      </c>
      <c r="H128" s="61">
        <f>((1250*H36)+((1500*(H41+H43))+(500*H50)+(1250*H59)))+(1000*8)</f>
        <v>73750</v>
      </c>
      <c r="I128" s="61">
        <f t="shared" ref="I128" si="230">((1250*I36)+((1500*(I41+I43))+(500*I50)+(1250*I59)))+(1000*5)</f>
        <v>12750</v>
      </c>
      <c r="J128" s="61">
        <f>((1250*J36)+((1500*(J41+J43))+(500*J50)+(1250*J59)))</f>
        <v>0</v>
      </c>
      <c r="K128" s="61">
        <f>((1250*K36)+((1500*(K41+K43))+(500*K50)+(1250*K59)))</f>
        <v>0</v>
      </c>
      <c r="L128" s="75">
        <f t="shared" si="215"/>
        <v>86500</v>
      </c>
      <c r="N128" s="61">
        <f>((1250*N36)+((1500*(N41+N43))+(500*N50)+(1250*N59)))+(1000*8)</f>
        <v>151000</v>
      </c>
      <c r="O128" s="61">
        <f t="shared" ref="O128" si="231">((1250*O36)+((1500*(O41+O43))+(500*O50)+(1250*O59)))+(1000*5)</f>
        <v>29500</v>
      </c>
      <c r="P128" s="61">
        <f>((1250*P36)+((1500*(P41+P43))+(500*P50)+(1250*P59)))</f>
        <v>0</v>
      </c>
      <c r="Q128" s="61">
        <f>((1250*Q36)+((1500*(Q41+Q43))+(500*Q50)+(1250*Q59)))</f>
        <v>0</v>
      </c>
      <c r="R128" s="75">
        <f t="shared" si="217"/>
        <v>180500</v>
      </c>
      <c r="T128" s="61">
        <f>((1250*T36)+((1500*(T41+T43))+(500*T50)+(1250*T59)))+(1000*2)</f>
        <v>34000</v>
      </c>
      <c r="U128" s="61">
        <f>((1250*U36)+((1500*(U41+U43))+(500*U50)+(1250*U59)))+(1000*1)</f>
        <v>6250</v>
      </c>
      <c r="V128" s="61">
        <v>0</v>
      </c>
      <c r="W128" s="61">
        <v>0</v>
      </c>
      <c r="X128" s="75">
        <f t="shared" si="219"/>
        <v>40250</v>
      </c>
      <c r="Y128" s="194"/>
      <c r="Z128" s="61">
        <f>(((1250*Z36)+((1500*(Z41+Z43))+(500*Z50)+(1250*Z59)))+(1000*2))</f>
        <v>36125</v>
      </c>
      <c r="AA128" s="61">
        <f>(((1250*AA36)+((1500*(AA41+AA43))+(500*AA50)+(1250*AA59)))+(1000*1))</f>
        <v>6250</v>
      </c>
      <c r="AB128" s="61">
        <v>0</v>
      </c>
      <c r="AC128" s="61">
        <v>0</v>
      </c>
      <c r="AD128" s="75">
        <f t="shared" si="222"/>
        <v>42375</v>
      </c>
      <c r="AE128" s="194"/>
      <c r="AF128" s="61">
        <f>(((1250*AF36)+((1500*(AF41+AF43))+(500*AF50)+(1250*AF59)))+(1000*2))*0.5</f>
        <v>22000</v>
      </c>
      <c r="AG128" s="61">
        <f>(((1250*AG36)+((1500*(AG41+AG43))+(500*AG50)+(1250*AG59)))+(1000*1))*0.5</f>
        <v>4000</v>
      </c>
      <c r="AH128" s="61">
        <v>0</v>
      </c>
      <c r="AI128" s="61">
        <v>0</v>
      </c>
      <c r="AJ128" s="75">
        <f t="shared" si="224"/>
        <v>26000</v>
      </c>
      <c r="AL128" s="61">
        <f>((1250*AL36)+((1500*(AL41+AL43))+(500*AL50)+(1250*AL59)))</f>
        <v>1000</v>
      </c>
      <c r="AM128" s="61">
        <f>((1250*AM36)+((1500*(AM41+AM43))+(500*AM50)+(1250*AM59)))</f>
        <v>0</v>
      </c>
      <c r="AN128" s="61">
        <f>((1250*AN36)+((1500*(AN41+AN43))+(500*AN50)+(1250*AN59)))</f>
        <v>0</v>
      </c>
      <c r="AO128" s="61">
        <f>((1250*AO36)+((1500*(AO41+AO43))+(500*AO50)+(1250*AO59)))</f>
        <v>17500</v>
      </c>
      <c r="AP128" s="75">
        <f t="shared" si="226"/>
        <v>18500</v>
      </c>
      <c r="AR128" s="75">
        <f t="shared" si="227"/>
        <v>393625</v>
      </c>
      <c r="AS128" s="75">
        <f t="shared" si="211"/>
        <v>72500</v>
      </c>
      <c r="AT128" s="75">
        <f t="shared" si="211"/>
        <v>0</v>
      </c>
      <c r="AU128" s="75">
        <f t="shared" si="211"/>
        <v>17500</v>
      </c>
      <c r="AV128" s="75">
        <f t="shared" si="228"/>
        <v>483625</v>
      </c>
    </row>
    <row r="129" spans="1:48" x14ac:dyDescent="0.25">
      <c r="A129" s="21" t="s">
        <v>92</v>
      </c>
      <c r="B129" s="61">
        <f>250*B63</f>
        <v>14250</v>
      </c>
      <c r="C129" s="61">
        <f t="shared" ref="C129:D129" si="232">250*C63</f>
        <v>2500</v>
      </c>
      <c r="D129" s="61">
        <f t="shared" si="232"/>
        <v>0</v>
      </c>
      <c r="E129" s="61">
        <f>250*E63</f>
        <v>0</v>
      </c>
      <c r="F129" s="75">
        <f t="shared" si="213"/>
        <v>16750</v>
      </c>
      <c r="H129" s="61">
        <f>250*H63</f>
        <v>14125</v>
      </c>
      <c r="I129" s="61">
        <f t="shared" ref="I129:J129" si="233">250*I63</f>
        <v>2375</v>
      </c>
      <c r="J129" s="61">
        <f t="shared" si="233"/>
        <v>0</v>
      </c>
      <c r="K129" s="61">
        <f>250*K63</f>
        <v>0</v>
      </c>
      <c r="L129" s="75">
        <f t="shared" si="215"/>
        <v>16500</v>
      </c>
      <c r="N129" s="61">
        <f>250*N63</f>
        <v>29250</v>
      </c>
      <c r="O129" s="61">
        <f t="shared" ref="O129:P129" si="234">250*O63</f>
        <v>7000</v>
      </c>
      <c r="P129" s="61">
        <f t="shared" si="234"/>
        <v>0</v>
      </c>
      <c r="Q129" s="61">
        <f>250*Q63</f>
        <v>0</v>
      </c>
      <c r="R129" s="75">
        <f t="shared" si="217"/>
        <v>36250</v>
      </c>
      <c r="T129" s="61">
        <f>250*T63</f>
        <v>6875</v>
      </c>
      <c r="U129" s="61">
        <f t="shared" ref="U129:V129" si="235">250*U63</f>
        <v>1500</v>
      </c>
      <c r="V129" s="61">
        <f t="shared" si="235"/>
        <v>0</v>
      </c>
      <c r="W129" s="61">
        <f>250*W63</f>
        <v>0</v>
      </c>
      <c r="X129" s="75">
        <f t="shared" si="219"/>
        <v>8375</v>
      </c>
      <c r="Y129" s="194"/>
      <c r="Z129" s="61">
        <f>250*Z63</f>
        <v>7000</v>
      </c>
      <c r="AA129" s="61">
        <f t="shared" ref="AA129:AB129" si="236">250*AA63</f>
        <v>1500</v>
      </c>
      <c r="AB129" s="61">
        <f t="shared" si="236"/>
        <v>0</v>
      </c>
      <c r="AC129" s="61">
        <f>250*AC63</f>
        <v>0</v>
      </c>
      <c r="AD129" s="75">
        <f t="shared" si="222"/>
        <v>8500</v>
      </c>
      <c r="AE129" s="194"/>
      <c r="AF129" s="61">
        <f>250*AF63</f>
        <v>8500</v>
      </c>
      <c r="AG129" s="61">
        <f t="shared" ref="AG129:AH129" si="237">250*AG63</f>
        <v>2000</v>
      </c>
      <c r="AH129" s="61">
        <f t="shared" si="237"/>
        <v>500</v>
      </c>
      <c r="AI129" s="61">
        <f>250*AI63</f>
        <v>0</v>
      </c>
      <c r="AJ129" s="75">
        <f t="shared" si="224"/>
        <v>11000</v>
      </c>
      <c r="AL129" s="61">
        <f>250*AL63</f>
        <v>500</v>
      </c>
      <c r="AM129" s="61">
        <f t="shared" ref="AM129:AN129" si="238">250*AM63</f>
        <v>0</v>
      </c>
      <c r="AN129" s="61">
        <f t="shared" si="238"/>
        <v>0</v>
      </c>
      <c r="AO129" s="61">
        <f>250*AO63</f>
        <v>6250</v>
      </c>
      <c r="AP129" s="75">
        <f t="shared" si="226"/>
        <v>6750</v>
      </c>
      <c r="AR129" s="75">
        <f t="shared" si="227"/>
        <v>80500</v>
      </c>
      <c r="AS129" s="75">
        <f t="shared" si="211"/>
        <v>16875</v>
      </c>
      <c r="AT129" s="75">
        <f t="shared" si="211"/>
        <v>500</v>
      </c>
      <c r="AU129" s="75">
        <f t="shared" si="211"/>
        <v>6250</v>
      </c>
      <c r="AV129" s="75">
        <f t="shared" si="228"/>
        <v>104125</v>
      </c>
    </row>
    <row r="130" spans="1:48" x14ac:dyDescent="0.25">
      <c r="A130" s="21" t="s">
        <v>98</v>
      </c>
      <c r="B130" s="63">
        <v>125000</v>
      </c>
      <c r="C130" s="63"/>
      <c r="D130" s="63"/>
      <c r="E130" s="63"/>
      <c r="F130" s="75">
        <f t="shared" si="213"/>
        <v>125000</v>
      </c>
      <c r="H130" s="63">
        <v>50000</v>
      </c>
      <c r="I130" s="63"/>
      <c r="J130" s="63"/>
      <c r="K130" s="63"/>
      <c r="L130" s="75">
        <f t="shared" si="215"/>
        <v>50000</v>
      </c>
      <c r="N130" s="63">
        <v>20000</v>
      </c>
      <c r="O130" s="63"/>
      <c r="P130" s="63"/>
      <c r="Q130" s="63"/>
      <c r="R130" s="75">
        <f t="shared" si="217"/>
        <v>20000</v>
      </c>
      <c r="T130" s="63">
        <v>0</v>
      </c>
      <c r="U130" s="63"/>
      <c r="V130" s="63"/>
      <c r="W130" s="63"/>
      <c r="X130" s="75">
        <f t="shared" si="219"/>
        <v>0</v>
      </c>
      <c r="Y130" s="194"/>
      <c r="Z130" s="63">
        <v>0</v>
      </c>
      <c r="AA130" s="63"/>
      <c r="AB130" s="63"/>
      <c r="AC130" s="63"/>
      <c r="AD130" s="75">
        <f t="shared" si="222"/>
        <v>0</v>
      </c>
      <c r="AE130" s="194"/>
      <c r="AF130" s="63">
        <v>0</v>
      </c>
      <c r="AG130" s="63"/>
      <c r="AH130" s="63"/>
      <c r="AI130" s="63"/>
      <c r="AJ130" s="75">
        <f t="shared" si="224"/>
        <v>0</v>
      </c>
      <c r="AL130" s="63"/>
      <c r="AM130" s="63"/>
      <c r="AN130" s="63"/>
      <c r="AO130" s="63"/>
      <c r="AP130" s="75">
        <f t="shared" si="226"/>
        <v>0</v>
      </c>
      <c r="AR130" s="75">
        <f t="shared" si="227"/>
        <v>195000</v>
      </c>
      <c r="AS130" s="75">
        <f t="shared" si="211"/>
        <v>0</v>
      </c>
      <c r="AT130" s="75">
        <f t="shared" si="211"/>
        <v>0</v>
      </c>
      <c r="AU130" s="75">
        <f t="shared" si="211"/>
        <v>0</v>
      </c>
      <c r="AV130" s="75">
        <f t="shared" si="228"/>
        <v>195000</v>
      </c>
    </row>
    <row r="131" spans="1:48" x14ac:dyDescent="0.25">
      <c r="A131" s="22" t="s">
        <v>94</v>
      </c>
      <c r="B131" s="64">
        <v>8500</v>
      </c>
      <c r="C131" s="64"/>
      <c r="D131" s="64"/>
      <c r="E131" s="64"/>
      <c r="F131" s="75">
        <f t="shared" si="213"/>
        <v>8500</v>
      </c>
      <c r="H131" s="64">
        <v>8500</v>
      </c>
      <c r="I131" s="64"/>
      <c r="J131" s="64"/>
      <c r="K131" s="64"/>
      <c r="L131" s="75">
        <f t="shared" si="215"/>
        <v>8500</v>
      </c>
      <c r="N131" s="64">
        <v>25000</v>
      </c>
      <c r="O131" s="64"/>
      <c r="P131" s="64"/>
      <c r="Q131" s="64"/>
      <c r="R131" s="75">
        <f t="shared" si="217"/>
        <v>25000</v>
      </c>
      <c r="T131" s="64">
        <v>8000</v>
      </c>
      <c r="U131" s="64"/>
      <c r="V131" s="64"/>
      <c r="W131" s="64"/>
      <c r="X131" s="75">
        <f t="shared" si="219"/>
        <v>8000</v>
      </c>
      <c r="Y131" s="194"/>
      <c r="Z131" s="64">
        <v>8000</v>
      </c>
      <c r="AA131" s="64"/>
      <c r="AB131" s="64"/>
      <c r="AC131" s="64"/>
      <c r="AD131" s="75">
        <f t="shared" si="222"/>
        <v>8000</v>
      </c>
      <c r="AE131" s="194"/>
      <c r="AF131" s="64">
        <v>8000</v>
      </c>
      <c r="AG131" s="64"/>
      <c r="AH131" s="64"/>
      <c r="AI131" s="64"/>
      <c r="AJ131" s="75">
        <f t="shared" si="224"/>
        <v>8000</v>
      </c>
      <c r="AL131" s="64"/>
      <c r="AM131" s="64"/>
      <c r="AN131" s="64"/>
      <c r="AO131" s="64"/>
      <c r="AP131" s="75">
        <f t="shared" si="226"/>
        <v>0</v>
      </c>
      <c r="AR131" s="75">
        <f t="shared" si="227"/>
        <v>66000</v>
      </c>
      <c r="AS131" s="75">
        <f t="shared" si="211"/>
        <v>0</v>
      </c>
      <c r="AT131" s="75">
        <f t="shared" si="211"/>
        <v>0</v>
      </c>
      <c r="AU131" s="75">
        <f t="shared" si="211"/>
        <v>0</v>
      </c>
      <c r="AV131" s="75">
        <f t="shared" si="228"/>
        <v>66000</v>
      </c>
    </row>
    <row r="132" spans="1:48" x14ac:dyDescent="0.25">
      <c r="A132" s="27"/>
      <c r="B132" s="76">
        <f>SUM(B126:B131)</f>
        <v>2302896.4188750004</v>
      </c>
      <c r="C132" s="76">
        <f t="shared" ref="C132:F132" si="239">SUM(C126:C131)</f>
        <v>316444.25</v>
      </c>
      <c r="D132" s="76">
        <f t="shared" si="239"/>
        <v>0</v>
      </c>
      <c r="E132" s="76">
        <f t="shared" si="239"/>
        <v>0</v>
      </c>
      <c r="F132" s="76">
        <f t="shared" si="239"/>
        <v>2619340.6688750004</v>
      </c>
      <c r="H132" s="76">
        <f>SUM(H126:H131)</f>
        <v>2152639.3935625004</v>
      </c>
      <c r="I132" s="76">
        <f t="shared" ref="I132:L132" si="240">SUM(I126:I131)</f>
        <v>285796.42500000005</v>
      </c>
      <c r="J132" s="76">
        <f t="shared" si="240"/>
        <v>0</v>
      </c>
      <c r="K132" s="76">
        <f t="shared" si="240"/>
        <v>0</v>
      </c>
      <c r="L132" s="76">
        <f t="shared" si="240"/>
        <v>2438435.8185625002</v>
      </c>
      <c r="N132" s="76">
        <f>SUM(N126:N131)</f>
        <v>4531552.4672375005</v>
      </c>
      <c r="O132" s="76">
        <f t="shared" ref="O132:R132" si="241">SUM(O126:O131)</f>
        <v>868111.39999999991</v>
      </c>
      <c r="P132" s="76">
        <f t="shared" si="241"/>
        <v>0</v>
      </c>
      <c r="Q132" s="76">
        <f t="shared" si="241"/>
        <v>0</v>
      </c>
      <c r="R132" s="76">
        <f t="shared" si="241"/>
        <v>5399663.8672374999</v>
      </c>
      <c r="T132" s="76">
        <f>SUM(T126:T131)</f>
        <v>939997.15500000003</v>
      </c>
      <c r="U132" s="76">
        <f t="shared" ref="U132:X132" si="242">SUM(U126:U131)</f>
        <v>176165.2</v>
      </c>
      <c r="V132" s="76">
        <f t="shared" si="242"/>
        <v>0</v>
      </c>
      <c r="W132" s="76">
        <f t="shared" si="242"/>
        <v>0</v>
      </c>
      <c r="X132" s="76">
        <f t="shared" si="242"/>
        <v>1116162.355</v>
      </c>
      <c r="Y132" s="199"/>
      <c r="Z132" s="76">
        <f>SUM(Z126:Z131)</f>
        <v>969663.8125</v>
      </c>
      <c r="AA132" s="76">
        <f t="shared" ref="AA132:AD132" si="243">SUM(AA126:AA131)</f>
        <v>176558.125</v>
      </c>
      <c r="AB132" s="76">
        <f t="shared" si="243"/>
        <v>0</v>
      </c>
      <c r="AC132" s="76">
        <f t="shared" si="243"/>
        <v>0</v>
      </c>
      <c r="AD132" s="76">
        <f t="shared" si="243"/>
        <v>1146221.9375</v>
      </c>
      <c r="AE132" s="199"/>
      <c r="AF132" s="76">
        <f>SUM(AF126:AF131)</f>
        <v>1104636.9750000001</v>
      </c>
      <c r="AG132" s="76">
        <f t="shared" ref="AG132:AJ132" si="244">SUM(AG126:AG131)</f>
        <v>219263.9</v>
      </c>
      <c r="AH132" s="76">
        <f t="shared" si="244"/>
        <v>16253.5</v>
      </c>
      <c r="AI132" s="76">
        <f t="shared" si="244"/>
        <v>0</v>
      </c>
      <c r="AJ132" s="76">
        <f t="shared" si="244"/>
        <v>1340154.375</v>
      </c>
      <c r="AL132" s="76">
        <f>SUM(AL126:AL131)</f>
        <v>47110.201150000001</v>
      </c>
      <c r="AM132" s="76">
        <f t="shared" ref="AM132:AP132" si="245">SUM(AM126:AM131)</f>
        <v>0</v>
      </c>
      <c r="AN132" s="76">
        <f t="shared" si="245"/>
        <v>0</v>
      </c>
      <c r="AO132" s="76">
        <f t="shared" si="245"/>
        <v>585237.5</v>
      </c>
      <c r="AP132" s="76">
        <f t="shared" si="245"/>
        <v>632347.70114999998</v>
      </c>
      <c r="AR132" s="76">
        <f>SUM(AR126:AR131)</f>
        <v>12048496.423325</v>
      </c>
      <c r="AS132" s="76">
        <f t="shared" ref="AS132:AV132" si="246">SUM(AS126:AS131)</f>
        <v>2042339.3000000003</v>
      </c>
      <c r="AT132" s="76">
        <f t="shared" si="246"/>
        <v>16253.5</v>
      </c>
      <c r="AU132" s="76">
        <f t="shared" si="246"/>
        <v>585237.5</v>
      </c>
      <c r="AV132" s="76">
        <f t="shared" si="246"/>
        <v>14692326.723324999</v>
      </c>
    </row>
    <row r="133" spans="1:48" x14ac:dyDescent="0.25">
      <c r="B133" s="79"/>
      <c r="C133" s="79"/>
      <c r="D133" s="79"/>
      <c r="E133" s="79"/>
      <c r="F133" s="79"/>
      <c r="H133" s="79"/>
      <c r="I133" s="79"/>
      <c r="J133" s="79"/>
      <c r="K133" s="79"/>
      <c r="L133" s="79"/>
      <c r="N133" s="79"/>
      <c r="O133" s="79"/>
      <c r="P133" s="79"/>
      <c r="Q133" s="79"/>
      <c r="R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L133" s="79"/>
      <c r="AM133" s="79"/>
      <c r="AN133" s="79"/>
      <c r="AO133" s="79"/>
      <c r="AP133" s="79"/>
      <c r="AR133" s="79"/>
      <c r="AS133" s="79"/>
      <c r="AT133" s="79"/>
      <c r="AU133" s="79"/>
      <c r="AV133" s="79"/>
    </row>
    <row r="134" spans="1:48" x14ac:dyDescent="0.25">
      <c r="A134" s="28"/>
      <c r="B134" s="78" t="s">
        <v>157</v>
      </c>
      <c r="C134" s="78" t="s">
        <v>158</v>
      </c>
      <c r="D134" s="78" t="s">
        <v>159</v>
      </c>
      <c r="E134" s="78" t="str">
        <f>E118</f>
        <v>Other</v>
      </c>
      <c r="F134" s="78" t="str">
        <f>F118</f>
        <v>FY28- Mtn</v>
      </c>
      <c r="H134" s="78" t="s">
        <v>157</v>
      </c>
      <c r="I134" s="78" t="s">
        <v>158</v>
      </c>
      <c r="J134" s="78" t="s">
        <v>159</v>
      </c>
      <c r="K134" s="78" t="str">
        <f>K118</f>
        <v>Other</v>
      </c>
      <c r="L134" s="78" t="str">
        <f>L118</f>
        <v>FY28- Bon</v>
      </c>
      <c r="N134" s="78" t="s">
        <v>157</v>
      </c>
      <c r="O134" s="78" t="s">
        <v>158</v>
      </c>
      <c r="P134" s="78" t="s">
        <v>159</v>
      </c>
      <c r="Q134" s="78" t="str">
        <f>Q118</f>
        <v>Other</v>
      </c>
      <c r="R134" s="78" t="str">
        <f>R118</f>
        <v>FY28- East</v>
      </c>
      <c r="T134" s="78" t="s">
        <v>157</v>
      </c>
      <c r="U134" s="78" t="s">
        <v>158</v>
      </c>
      <c r="V134" s="78" t="s">
        <v>159</v>
      </c>
      <c r="W134" s="78" t="str">
        <f>W118</f>
        <v>Other</v>
      </c>
      <c r="X134" s="78" t="str">
        <f>X118</f>
        <v>FY28- Cactus</v>
      </c>
      <c r="Y134" s="201"/>
      <c r="Z134" s="78" t="s">
        <v>157</v>
      </c>
      <c r="AA134" s="78" t="s">
        <v>158</v>
      </c>
      <c r="AB134" s="78" t="s">
        <v>159</v>
      </c>
      <c r="AC134" s="78" t="str">
        <f>AC118</f>
        <v>Other</v>
      </c>
      <c r="AD134" s="78" t="str">
        <f>AD118</f>
        <v>FY28- Sahara</v>
      </c>
      <c r="AE134" s="201"/>
      <c r="AF134" s="78" t="s">
        <v>157</v>
      </c>
      <c r="AG134" s="78" t="s">
        <v>158</v>
      </c>
      <c r="AH134" s="78" t="s">
        <v>159</v>
      </c>
      <c r="AI134" s="78" t="str">
        <f>AI118</f>
        <v>Other</v>
      </c>
      <c r="AJ134" s="78" t="str">
        <f>AJ118</f>
        <v>FY27- VV</v>
      </c>
      <c r="AL134" s="78" t="s">
        <v>157</v>
      </c>
      <c r="AM134" s="78" t="s">
        <v>158</v>
      </c>
      <c r="AN134" s="78" t="s">
        <v>159</v>
      </c>
      <c r="AO134" s="78" t="str">
        <f>AO118</f>
        <v>Grant</v>
      </c>
      <c r="AP134" s="78" t="str">
        <f>AP118</f>
        <v>FY28 - Central</v>
      </c>
      <c r="AR134" s="78" t="s">
        <v>157</v>
      </c>
      <c r="AS134" s="78" t="s">
        <v>158</v>
      </c>
      <c r="AT134" s="78" t="s">
        <v>159</v>
      </c>
      <c r="AU134" s="78" t="str">
        <f>AU118</f>
        <v>Other</v>
      </c>
      <c r="AV134" s="78" t="str">
        <f>AV118</f>
        <v>FY28- Sys</v>
      </c>
    </row>
    <row r="135" spans="1:48" x14ac:dyDescent="0.25">
      <c r="A135" s="30" t="s">
        <v>99</v>
      </c>
      <c r="B135" s="75">
        <f>(240*1050)</f>
        <v>252000</v>
      </c>
      <c r="C135" s="75"/>
      <c r="D135" s="75"/>
      <c r="E135" s="75"/>
      <c r="F135" s="75">
        <f>SUM(B135:E135)</f>
        <v>252000</v>
      </c>
      <c r="H135" s="75">
        <f>(240*1050)</f>
        <v>252000</v>
      </c>
      <c r="I135" s="75"/>
      <c r="J135" s="75"/>
      <c r="K135" s="75"/>
      <c r="L135" s="75">
        <f>SUM(H135:K135)</f>
        <v>252000</v>
      </c>
      <c r="N135" s="75">
        <f>(240*2550)</f>
        <v>612000</v>
      </c>
      <c r="O135" s="75"/>
      <c r="P135" s="75"/>
      <c r="Q135" s="75"/>
      <c r="R135" s="75">
        <f>SUM(N135:Q135)</f>
        <v>612000</v>
      </c>
      <c r="T135" s="75">
        <f>(240*550)</f>
        <v>132000</v>
      </c>
      <c r="U135" s="75"/>
      <c r="V135" s="75"/>
      <c r="W135" s="75"/>
      <c r="X135" s="75">
        <f>SUM(T135:W135)</f>
        <v>132000</v>
      </c>
      <c r="Y135" s="194"/>
      <c r="Z135" s="75">
        <f>(235*Z17)</f>
        <v>144290</v>
      </c>
      <c r="AA135" s="75"/>
      <c r="AB135" s="75"/>
      <c r="AC135" s="75"/>
      <c r="AD135" s="75">
        <f>SUM(Z135:AC135)</f>
        <v>144290</v>
      </c>
      <c r="AE135" s="194"/>
      <c r="AF135" s="75">
        <f>(235*800)</f>
        <v>188000</v>
      </c>
      <c r="AG135" s="75"/>
      <c r="AH135" s="75"/>
      <c r="AI135" s="75"/>
      <c r="AJ135" s="75">
        <f>SUM(AF135:AI135)</f>
        <v>188000</v>
      </c>
      <c r="AL135" s="75"/>
      <c r="AM135" s="75"/>
      <c r="AN135" s="75"/>
      <c r="AO135" s="75"/>
      <c r="AP135" s="75">
        <f>SUM(AL135:AO135)</f>
        <v>0</v>
      </c>
      <c r="AR135" s="75">
        <f>B135+H135+N135+T135+AL135+AF135+Z135</f>
        <v>1580290</v>
      </c>
      <c r="AS135" s="75">
        <f t="shared" ref="AS135:AU140" si="247">C135+I135+O135+U135+AM135+AG135+AA135</f>
        <v>0</v>
      </c>
      <c r="AT135" s="75">
        <f t="shared" si="247"/>
        <v>0</v>
      </c>
      <c r="AU135" s="75">
        <f t="shared" si="247"/>
        <v>0</v>
      </c>
      <c r="AV135" s="75">
        <f>SUM(AR135:AU135)</f>
        <v>1580290</v>
      </c>
    </row>
    <row r="136" spans="1:48" x14ac:dyDescent="0.25">
      <c r="A136" s="31" t="s">
        <v>100</v>
      </c>
      <c r="B136" s="63"/>
      <c r="C136" s="63"/>
      <c r="D136" s="63"/>
      <c r="E136" s="63"/>
      <c r="F136" s="75">
        <f t="shared" ref="F136:F140" si="248">SUM(B136:E136)</f>
        <v>0</v>
      </c>
      <c r="H136" s="63"/>
      <c r="I136" s="63"/>
      <c r="J136" s="63"/>
      <c r="K136" s="63"/>
      <c r="L136" s="75">
        <f t="shared" ref="L136:L140" si="249">SUM(H136:K136)</f>
        <v>0</v>
      </c>
      <c r="N136" s="63">
        <v>290000</v>
      </c>
      <c r="O136" s="63"/>
      <c r="P136" s="63"/>
      <c r="Q136" s="63"/>
      <c r="R136" s="75">
        <f t="shared" ref="R136:R140" si="250">SUM(N136:Q136)</f>
        <v>290000</v>
      </c>
      <c r="T136" s="63"/>
      <c r="U136" s="63"/>
      <c r="V136" s="63"/>
      <c r="W136" s="63"/>
      <c r="X136" s="75">
        <f t="shared" ref="X136:X140" si="251">SUM(T136:W136)</f>
        <v>0</v>
      </c>
      <c r="Y136" s="194"/>
      <c r="Z136" s="63"/>
      <c r="AA136" s="63"/>
      <c r="AB136" s="63"/>
      <c r="AC136" s="63"/>
      <c r="AD136" s="75">
        <f t="shared" ref="AD136:AD140" si="252">SUM(Z136:AC136)</f>
        <v>0</v>
      </c>
      <c r="AE136" s="194"/>
      <c r="AF136" s="63"/>
      <c r="AG136" s="63"/>
      <c r="AH136" s="63"/>
      <c r="AI136" s="63"/>
      <c r="AJ136" s="75">
        <f t="shared" ref="AJ136:AJ140" si="253">SUM(AF136:AI136)</f>
        <v>0</v>
      </c>
      <c r="AL136" s="63"/>
      <c r="AM136" s="63"/>
      <c r="AN136" s="63"/>
      <c r="AO136" s="63"/>
      <c r="AP136" s="75">
        <f t="shared" ref="AP136:AP140" si="254">SUM(AL136:AO136)</f>
        <v>0</v>
      </c>
      <c r="AR136" s="75">
        <f t="shared" ref="AR136:AR140" si="255">B136+H136+N136+T136+AL136+AF136+Z136</f>
        <v>290000</v>
      </c>
      <c r="AS136" s="75">
        <f t="shared" si="247"/>
        <v>0</v>
      </c>
      <c r="AT136" s="75">
        <f t="shared" si="247"/>
        <v>0</v>
      </c>
      <c r="AU136" s="75">
        <f t="shared" si="247"/>
        <v>0</v>
      </c>
      <c r="AV136" s="75">
        <f t="shared" ref="AV136:AV140" si="256">SUM(AR136:AU136)</f>
        <v>290000</v>
      </c>
    </row>
    <row r="137" spans="1:48" x14ac:dyDescent="0.25">
      <c r="A137" s="32" t="s">
        <v>101</v>
      </c>
      <c r="B137" s="63"/>
      <c r="C137" s="63"/>
      <c r="D137" s="63"/>
      <c r="E137" s="63"/>
      <c r="F137" s="75">
        <f t="shared" si="248"/>
        <v>0</v>
      </c>
      <c r="H137" s="63"/>
      <c r="I137" s="63"/>
      <c r="J137" s="63"/>
      <c r="K137" s="63"/>
      <c r="L137" s="75">
        <f t="shared" si="249"/>
        <v>0</v>
      </c>
      <c r="N137" s="63">
        <v>50000</v>
      </c>
      <c r="O137" s="63"/>
      <c r="P137" s="63"/>
      <c r="Q137" s="63"/>
      <c r="R137" s="75">
        <f t="shared" si="250"/>
        <v>50000</v>
      </c>
      <c r="T137" s="63"/>
      <c r="U137" s="63"/>
      <c r="V137" s="63"/>
      <c r="W137" s="63"/>
      <c r="X137" s="75">
        <f t="shared" si="251"/>
        <v>0</v>
      </c>
      <c r="Y137" s="194"/>
      <c r="Z137" s="63"/>
      <c r="AA137" s="63"/>
      <c r="AB137" s="63"/>
      <c r="AC137" s="63"/>
      <c r="AD137" s="75">
        <f t="shared" si="252"/>
        <v>0</v>
      </c>
      <c r="AE137" s="194"/>
      <c r="AF137" s="63"/>
      <c r="AG137" s="63"/>
      <c r="AH137" s="63"/>
      <c r="AI137" s="63"/>
      <c r="AJ137" s="75">
        <f t="shared" si="253"/>
        <v>0</v>
      </c>
      <c r="AL137" s="63"/>
      <c r="AM137" s="63"/>
      <c r="AN137" s="63"/>
      <c r="AO137" s="63"/>
      <c r="AP137" s="75">
        <f t="shared" si="254"/>
        <v>0</v>
      </c>
      <c r="AR137" s="75">
        <f t="shared" si="255"/>
        <v>50000</v>
      </c>
      <c r="AS137" s="75">
        <f t="shared" si="247"/>
        <v>0</v>
      </c>
      <c r="AT137" s="75">
        <f t="shared" si="247"/>
        <v>0</v>
      </c>
      <c r="AU137" s="75">
        <f t="shared" si="247"/>
        <v>0</v>
      </c>
      <c r="AV137" s="75">
        <f t="shared" si="256"/>
        <v>50000</v>
      </c>
    </row>
    <row r="138" spans="1:48" x14ac:dyDescent="0.25">
      <c r="A138" s="32" t="s">
        <v>102</v>
      </c>
      <c r="B138" s="63">
        <f>37*B17</f>
        <v>38036</v>
      </c>
      <c r="C138" s="63"/>
      <c r="D138" s="63"/>
      <c r="E138" s="63"/>
      <c r="F138" s="75">
        <f t="shared" si="248"/>
        <v>38036</v>
      </c>
      <c r="H138" s="63">
        <f>37*H17</f>
        <v>38036</v>
      </c>
      <c r="I138" s="63"/>
      <c r="J138" s="63"/>
      <c r="K138" s="63"/>
      <c r="L138" s="75">
        <f t="shared" si="249"/>
        <v>38036</v>
      </c>
      <c r="N138" s="63">
        <f>37*N17</f>
        <v>91686</v>
      </c>
      <c r="O138" s="63"/>
      <c r="P138" s="63"/>
      <c r="Q138" s="63"/>
      <c r="R138" s="75">
        <f t="shared" si="250"/>
        <v>91686</v>
      </c>
      <c r="T138" s="63">
        <f>39*T17</f>
        <v>20865</v>
      </c>
      <c r="U138" s="63"/>
      <c r="V138" s="63"/>
      <c r="W138" s="63"/>
      <c r="X138" s="75">
        <f t="shared" si="251"/>
        <v>20865</v>
      </c>
      <c r="Y138" s="194"/>
      <c r="Z138" s="63">
        <f>37*Z17</f>
        <v>22718</v>
      </c>
      <c r="AA138" s="63"/>
      <c r="AB138" s="63"/>
      <c r="AC138" s="63"/>
      <c r="AD138" s="75">
        <f t="shared" si="252"/>
        <v>22718</v>
      </c>
      <c r="AE138" s="194"/>
      <c r="AF138" s="63">
        <f>37*AF17</f>
        <v>28860</v>
      </c>
      <c r="AG138" s="63"/>
      <c r="AH138" s="63"/>
      <c r="AI138" s="63"/>
      <c r="AJ138" s="75">
        <f t="shared" si="253"/>
        <v>28860</v>
      </c>
      <c r="AL138" s="63">
        <f>35*AL17</f>
        <v>0</v>
      </c>
      <c r="AM138" s="63"/>
      <c r="AN138" s="63"/>
      <c r="AO138" s="63"/>
      <c r="AP138" s="75">
        <f t="shared" si="254"/>
        <v>0</v>
      </c>
      <c r="AR138" s="75">
        <f t="shared" si="255"/>
        <v>240201</v>
      </c>
      <c r="AS138" s="75">
        <f t="shared" si="247"/>
        <v>0</v>
      </c>
      <c r="AT138" s="75">
        <f t="shared" si="247"/>
        <v>0</v>
      </c>
      <c r="AU138" s="75">
        <f t="shared" si="247"/>
        <v>0</v>
      </c>
      <c r="AV138" s="75">
        <f t="shared" si="256"/>
        <v>240201</v>
      </c>
    </row>
    <row r="139" spans="1:48" x14ac:dyDescent="0.25">
      <c r="A139" s="32" t="s">
        <v>103</v>
      </c>
      <c r="B139" s="63">
        <f>(24*B17)</f>
        <v>24672</v>
      </c>
      <c r="C139" s="63"/>
      <c r="D139" s="63"/>
      <c r="E139" s="63"/>
      <c r="F139" s="75">
        <f t="shared" si="248"/>
        <v>24672</v>
      </c>
      <c r="H139" s="63">
        <f>(24*H17)</f>
        <v>24672</v>
      </c>
      <c r="I139" s="63"/>
      <c r="J139" s="63"/>
      <c r="K139" s="63"/>
      <c r="L139" s="75">
        <f t="shared" si="249"/>
        <v>24672</v>
      </c>
      <c r="N139" s="63">
        <f>(24*N17)</f>
        <v>59472</v>
      </c>
      <c r="O139" s="63"/>
      <c r="P139" s="63"/>
      <c r="Q139" s="63"/>
      <c r="R139" s="75">
        <f t="shared" si="250"/>
        <v>59472</v>
      </c>
      <c r="T139" s="63">
        <f>(26*T17)</f>
        <v>13910</v>
      </c>
      <c r="U139" s="63"/>
      <c r="V139" s="63"/>
      <c r="W139" s="63"/>
      <c r="X139" s="75">
        <f t="shared" si="251"/>
        <v>13910</v>
      </c>
      <c r="Y139" s="194"/>
      <c r="Z139" s="63">
        <f>(24*Z17)</f>
        <v>14736</v>
      </c>
      <c r="AA139" s="63"/>
      <c r="AB139" s="63"/>
      <c r="AC139" s="63"/>
      <c r="AD139" s="75">
        <f t="shared" si="252"/>
        <v>14736</v>
      </c>
      <c r="AE139" s="194"/>
      <c r="AF139" s="63">
        <f>(24*AF17)</f>
        <v>18720</v>
      </c>
      <c r="AG139" s="63"/>
      <c r="AH139" s="63"/>
      <c r="AI139" s="63"/>
      <c r="AJ139" s="75">
        <f t="shared" si="253"/>
        <v>18720</v>
      </c>
      <c r="AL139" s="63">
        <f>(22*AL17)</f>
        <v>0</v>
      </c>
      <c r="AM139" s="63"/>
      <c r="AN139" s="63"/>
      <c r="AO139" s="63"/>
      <c r="AP139" s="75">
        <f t="shared" si="254"/>
        <v>0</v>
      </c>
      <c r="AR139" s="75">
        <f t="shared" si="255"/>
        <v>156182</v>
      </c>
      <c r="AS139" s="75">
        <f t="shared" si="247"/>
        <v>0</v>
      </c>
      <c r="AT139" s="75">
        <f t="shared" si="247"/>
        <v>0</v>
      </c>
      <c r="AU139" s="75">
        <f t="shared" si="247"/>
        <v>0</v>
      </c>
      <c r="AV139" s="75">
        <f t="shared" si="256"/>
        <v>156182</v>
      </c>
    </row>
    <row r="140" spans="1:48" x14ac:dyDescent="0.25">
      <c r="A140" s="33" t="s">
        <v>104</v>
      </c>
      <c r="B140" s="64"/>
      <c r="C140" s="64">
        <f>185*C21</f>
        <v>19425</v>
      </c>
      <c r="D140" s="64"/>
      <c r="E140" s="64"/>
      <c r="F140" s="75">
        <f t="shared" si="248"/>
        <v>19425</v>
      </c>
      <c r="H140" s="64"/>
      <c r="I140" s="64">
        <f>185*I21</f>
        <v>19425</v>
      </c>
      <c r="J140" s="64"/>
      <c r="K140" s="64"/>
      <c r="L140" s="75">
        <f t="shared" si="249"/>
        <v>19425</v>
      </c>
      <c r="N140" s="64"/>
      <c r="O140" s="64">
        <f>185*O21</f>
        <v>48840</v>
      </c>
      <c r="P140" s="64"/>
      <c r="Q140" s="64"/>
      <c r="R140" s="75">
        <f t="shared" si="250"/>
        <v>48840</v>
      </c>
      <c r="T140" s="64"/>
      <c r="U140" s="64">
        <f>210*U21</f>
        <v>12600</v>
      </c>
      <c r="V140" s="64"/>
      <c r="W140" s="64"/>
      <c r="X140" s="75">
        <f t="shared" si="251"/>
        <v>12600</v>
      </c>
      <c r="Y140" s="194"/>
      <c r="Z140" s="64"/>
      <c r="AA140" s="64">
        <f>185*AA21</f>
        <v>9250</v>
      </c>
      <c r="AB140" s="64"/>
      <c r="AC140" s="64"/>
      <c r="AD140" s="75">
        <f t="shared" si="252"/>
        <v>9250</v>
      </c>
      <c r="AE140" s="194"/>
      <c r="AF140" s="64"/>
      <c r="AG140" s="64">
        <f>200*AG21</f>
        <v>19000</v>
      </c>
      <c r="AH140" s="64"/>
      <c r="AI140" s="64"/>
      <c r="AJ140" s="75">
        <f t="shared" si="253"/>
        <v>19000</v>
      </c>
      <c r="AL140" s="64"/>
      <c r="AM140" s="64">
        <f>175*AM21</f>
        <v>0</v>
      </c>
      <c r="AN140" s="64"/>
      <c r="AO140" s="64"/>
      <c r="AP140" s="75">
        <f t="shared" si="254"/>
        <v>0</v>
      </c>
      <c r="AR140" s="75">
        <f t="shared" si="255"/>
        <v>0</v>
      </c>
      <c r="AS140" s="75">
        <f t="shared" si="247"/>
        <v>128540</v>
      </c>
      <c r="AT140" s="75">
        <f t="shared" si="247"/>
        <v>0</v>
      </c>
      <c r="AU140" s="75">
        <f t="shared" si="247"/>
        <v>0</v>
      </c>
      <c r="AV140" s="75">
        <f t="shared" si="256"/>
        <v>128540</v>
      </c>
    </row>
    <row r="141" spans="1:48" x14ac:dyDescent="0.25">
      <c r="A141" s="34"/>
      <c r="B141" s="76">
        <f>SUM(B135:B140)</f>
        <v>314708</v>
      </c>
      <c r="C141" s="76">
        <f t="shared" ref="C141:F141" si="257">SUM(C135:C140)</f>
        <v>19425</v>
      </c>
      <c r="D141" s="76">
        <f t="shared" si="257"/>
        <v>0</v>
      </c>
      <c r="E141" s="76">
        <f t="shared" si="257"/>
        <v>0</v>
      </c>
      <c r="F141" s="76">
        <f t="shared" si="257"/>
        <v>334133</v>
      </c>
      <c r="H141" s="76">
        <f>SUM(H135:H140)</f>
        <v>314708</v>
      </c>
      <c r="I141" s="76">
        <f t="shared" ref="I141:L141" si="258">SUM(I135:I140)</f>
        <v>19425</v>
      </c>
      <c r="J141" s="76">
        <f t="shared" si="258"/>
        <v>0</v>
      </c>
      <c r="K141" s="76">
        <f t="shared" si="258"/>
        <v>0</v>
      </c>
      <c r="L141" s="76">
        <f t="shared" si="258"/>
        <v>334133</v>
      </c>
      <c r="N141" s="76">
        <f>SUM(N135:N140)</f>
        <v>1103158</v>
      </c>
      <c r="O141" s="76">
        <f t="shared" ref="O141:R141" si="259">SUM(O135:O140)</f>
        <v>48840</v>
      </c>
      <c r="P141" s="76">
        <f t="shared" si="259"/>
        <v>0</v>
      </c>
      <c r="Q141" s="76">
        <f t="shared" si="259"/>
        <v>0</v>
      </c>
      <c r="R141" s="76">
        <f t="shared" si="259"/>
        <v>1151998</v>
      </c>
      <c r="T141" s="76">
        <f>SUM(T135:T140)</f>
        <v>166775</v>
      </c>
      <c r="U141" s="76">
        <f t="shared" ref="U141:X141" si="260">SUM(U135:U140)</f>
        <v>12600</v>
      </c>
      <c r="V141" s="76">
        <f t="shared" si="260"/>
        <v>0</v>
      </c>
      <c r="W141" s="76">
        <f t="shared" si="260"/>
        <v>0</v>
      </c>
      <c r="X141" s="76">
        <f t="shared" si="260"/>
        <v>179375</v>
      </c>
      <c r="Y141" s="199"/>
      <c r="Z141" s="76">
        <f>SUM(Z135:Z140)</f>
        <v>181744</v>
      </c>
      <c r="AA141" s="76">
        <f t="shared" ref="AA141:AD141" si="261">SUM(AA135:AA140)</f>
        <v>9250</v>
      </c>
      <c r="AB141" s="76">
        <f t="shared" si="261"/>
        <v>0</v>
      </c>
      <c r="AC141" s="76">
        <f t="shared" si="261"/>
        <v>0</v>
      </c>
      <c r="AD141" s="76">
        <f t="shared" si="261"/>
        <v>190994</v>
      </c>
      <c r="AE141" s="199"/>
      <c r="AF141" s="76">
        <f>SUM(AF135:AF140)</f>
        <v>235580</v>
      </c>
      <c r="AG141" s="76">
        <f t="shared" ref="AG141:AJ141" si="262">SUM(AG135:AG140)</f>
        <v>19000</v>
      </c>
      <c r="AH141" s="76">
        <f t="shared" si="262"/>
        <v>0</v>
      </c>
      <c r="AI141" s="76">
        <f t="shared" si="262"/>
        <v>0</v>
      </c>
      <c r="AJ141" s="76">
        <f t="shared" si="262"/>
        <v>254580</v>
      </c>
      <c r="AL141" s="76">
        <f>SUM(AL135:AL140)</f>
        <v>0</v>
      </c>
      <c r="AM141" s="76">
        <f t="shared" ref="AM141:AP141" si="263">SUM(AM135:AM140)</f>
        <v>0</v>
      </c>
      <c r="AN141" s="76">
        <f t="shared" si="263"/>
        <v>0</v>
      </c>
      <c r="AO141" s="76">
        <f t="shared" si="263"/>
        <v>0</v>
      </c>
      <c r="AP141" s="76">
        <f t="shared" si="263"/>
        <v>0</v>
      </c>
      <c r="AR141" s="76">
        <f>SUM(AR135:AR140)</f>
        <v>2316673</v>
      </c>
      <c r="AS141" s="76">
        <f t="shared" ref="AS141:AV141" si="264">SUM(AS135:AS140)</f>
        <v>128540</v>
      </c>
      <c r="AT141" s="76">
        <f t="shared" si="264"/>
        <v>0</v>
      </c>
      <c r="AU141" s="76">
        <f t="shared" si="264"/>
        <v>0</v>
      </c>
      <c r="AV141" s="76">
        <f t="shared" si="264"/>
        <v>2445213</v>
      </c>
    </row>
    <row r="142" spans="1:48" x14ac:dyDescent="0.25">
      <c r="B142" s="77"/>
      <c r="C142" s="77"/>
      <c r="D142" s="77"/>
      <c r="E142" s="77"/>
      <c r="F142" s="77"/>
      <c r="H142" s="77"/>
      <c r="I142" s="77"/>
      <c r="J142" s="77"/>
      <c r="K142" s="77"/>
      <c r="L142" s="77"/>
      <c r="N142" s="77"/>
      <c r="O142" s="77"/>
      <c r="P142" s="77"/>
      <c r="Q142" s="77"/>
      <c r="R142" s="77"/>
      <c r="T142" s="77"/>
      <c r="U142" s="77"/>
      <c r="V142" s="77"/>
      <c r="W142" s="77"/>
      <c r="X142" s="77"/>
      <c r="Y142" s="79"/>
      <c r="Z142" s="77"/>
      <c r="AA142" s="77"/>
      <c r="AB142" s="77"/>
      <c r="AC142" s="77"/>
      <c r="AD142" s="77"/>
      <c r="AE142" s="79"/>
      <c r="AF142" s="77"/>
      <c r="AG142" s="77"/>
      <c r="AH142" s="77"/>
      <c r="AI142" s="77"/>
      <c r="AJ142" s="77"/>
      <c r="AL142" s="77"/>
      <c r="AM142" s="77"/>
      <c r="AN142" s="77"/>
      <c r="AO142" s="77"/>
      <c r="AP142" s="77"/>
      <c r="AR142" s="77"/>
      <c r="AS142" s="77"/>
      <c r="AT142" s="77"/>
      <c r="AU142" s="77"/>
      <c r="AV142" s="77"/>
    </row>
    <row r="143" spans="1:48" x14ac:dyDescent="0.25">
      <c r="A143" s="28"/>
      <c r="B143" s="78" t="s">
        <v>157</v>
      </c>
      <c r="C143" s="78" t="s">
        <v>158</v>
      </c>
      <c r="D143" s="78" t="s">
        <v>159</v>
      </c>
      <c r="E143" s="78" t="str">
        <f>E134</f>
        <v>Other</v>
      </c>
      <c r="F143" s="78" t="str">
        <f>F134</f>
        <v>FY28- Mtn</v>
      </c>
      <c r="H143" s="78" t="s">
        <v>157</v>
      </c>
      <c r="I143" s="78" t="s">
        <v>158</v>
      </c>
      <c r="J143" s="78" t="s">
        <v>159</v>
      </c>
      <c r="K143" s="78" t="str">
        <f>K134</f>
        <v>Other</v>
      </c>
      <c r="L143" s="78" t="str">
        <f>L134</f>
        <v>FY28- Bon</v>
      </c>
      <c r="N143" s="78" t="s">
        <v>157</v>
      </c>
      <c r="O143" s="78" t="s">
        <v>158</v>
      </c>
      <c r="P143" s="78" t="s">
        <v>159</v>
      </c>
      <c r="Q143" s="78" t="str">
        <f>Q134</f>
        <v>Other</v>
      </c>
      <c r="R143" s="78" t="str">
        <f>R134</f>
        <v>FY28- East</v>
      </c>
      <c r="T143" s="78" t="s">
        <v>157</v>
      </c>
      <c r="U143" s="78" t="s">
        <v>158</v>
      </c>
      <c r="V143" s="78" t="s">
        <v>159</v>
      </c>
      <c r="W143" s="78" t="str">
        <f>W134</f>
        <v>Other</v>
      </c>
      <c r="X143" s="78" t="str">
        <f>X134</f>
        <v>FY28- Cactus</v>
      </c>
      <c r="Y143" s="201"/>
      <c r="Z143" s="78" t="s">
        <v>157</v>
      </c>
      <c r="AA143" s="78" t="s">
        <v>158</v>
      </c>
      <c r="AB143" s="78" t="s">
        <v>159</v>
      </c>
      <c r="AC143" s="78" t="str">
        <f>AC134</f>
        <v>Other</v>
      </c>
      <c r="AD143" s="78" t="str">
        <f>AD134</f>
        <v>FY28- Sahara</v>
      </c>
      <c r="AE143" s="201"/>
      <c r="AF143" s="78" t="s">
        <v>157</v>
      </c>
      <c r="AG143" s="78" t="s">
        <v>158</v>
      </c>
      <c r="AH143" s="78" t="s">
        <v>159</v>
      </c>
      <c r="AI143" s="78" t="str">
        <f>AI134</f>
        <v>Other</v>
      </c>
      <c r="AJ143" s="78" t="str">
        <f>AJ134</f>
        <v>FY27- VV</v>
      </c>
      <c r="AL143" s="78" t="s">
        <v>157</v>
      </c>
      <c r="AM143" s="78" t="s">
        <v>158</v>
      </c>
      <c r="AN143" s="78" t="s">
        <v>159</v>
      </c>
      <c r="AO143" s="78" t="str">
        <f>AO134</f>
        <v>Grant</v>
      </c>
      <c r="AP143" s="78" t="str">
        <f>AP134</f>
        <v>FY28 - Central</v>
      </c>
      <c r="AR143" s="78" t="s">
        <v>157</v>
      </c>
      <c r="AS143" s="78" t="s">
        <v>158</v>
      </c>
      <c r="AT143" s="78" t="s">
        <v>159</v>
      </c>
      <c r="AU143" s="78" t="str">
        <f>AU134</f>
        <v>Other</v>
      </c>
      <c r="AV143" s="78" t="str">
        <f>AV134</f>
        <v>FY28- Sys</v>
      </c>
    </row>
    <row r="144" spans="1:48" x14ac:dyDescent="0.25">
      <c r="A144" s="35" t="s">
        <v>105</v>
      </c>
      <c r="B144" s="75">
        <f>32*B17</f>
        <v>32896</v>
      </c>
      <c r="C144" s="75"/>
      <c r="D144" s="75"/>
      <c r="E144" s="75"/>
      <c r="F144" s="75">
        <f>SUM(B144:E144)</f>
        <v>32896</v>
      </c>
      <c r="H144" s="75">
        <f>32*H17</f>
        <v>32896</v>
      </c>
      <c r="I144" s="75"/>
      <c r="J144" s="75"/>
      <c r="K144" s="75"/>
      <c r="L144" s="75">
        <f>SUM(H144:K144)</f>
        <v>32896</v>
      </c>
      <c r="N144" s="75">
        <f>32*N17</f>
        <v>79296</v>
      </c>
      <c r="O144" s="75"/>
      <c r="P144" s="75"/>
      <c r="Q144" s="75"/>
      <c r="R144" s="75">
        <f>SUM(N144:Q144)</f>
        <v>79296</v>
      </c>
      <c r="T144" s="75">
        <f>34*T17</f>
        <v>18190</v>
      </c>
      <c r="U144" s="75"/>
      <c r="V144" s="75"/>
      <c r="W144" s="75"/>
      <c r="X144" s="75">
        <f>SUM(T144:W144)</f>
        <v>18190</v>
      </c>
      <c r="Y144" s="194"/>
      <c r="Z144" s="75">
        <f>32*Z17</f>
        <v>19648</v>
      </c>
      <c r="AA144" s="75"/>
      <c r="AB144" s="75"/>
      <c r="AC144" s="75"/>
      <c r="AD144" s="75">
        <f>SUM(Z144:AC144)</f>
        <v>19648</v>
      </c>
      <c r="AE144" s="194"/>
      <c r="AF144" s="75">
        <f>32*AF17</f>
        <v>24960</v>
      </c>
      <c r="AG144" s="75"/>
      <c r="AH144" s="75"/>
      <c r="AI144" s="75"/>
      <c r="AJ144" s="75">
        <f>SUM(AF144:AI144)</f>
        <v>24960</v>
      </c>
      <c r="AL144" s="75">
        <f>6000+250+250</f>
        <v>6500</v>
      </c>
      <c r="AM144" s="75"/>
      <c r="AN144" s="75"/>
      <c r="AO144" s="75"/>
      <c r="AP144" s="75">
        <f>SUM(AL144:AO144)</f>
        <v>6500</v>
      </c>
      <c r="AR144" s="75">
        <f>B144+H144+N144+T144+AL144+AF144+Z144</f>
        <v>214386</v>
      </c>
      <c r="AS144" s="75">
        <f t="shared" ref="AS144:AU148" si="265">C144+I144+O144+U144+AM144+AG144+AA144</f>
        <v>0</v>
      </c>
      <c r="AT144" s="75">
        <f t="shared" si="265"/>
        <v>0</v>
      </c>
      <c r="AU144" s="75">
        <f t="shared" si="265"/>
        <v>0</v>
      </c>
      <c r="AV144" s="75">
        <f>SUM(AR144:AU144)</f>
        <v>214386</v>
      </c>
    </row>
    <row r="145" spans="1:48" x14ac:dyDescent="0.25">
      <c r="A145" s="32" t="s">
        <v>103</v>
      </c>
      <c r="B145" s="63">
        <f>(3.5*B17)</f>
        <v>3598</v>
      </c>
      <c r="C145" s="63"/>
      <c r="D145" s="63"/>
      <c r="E145" s="63"/>
      <c r="F145" s="75">
        <f t="shared" ref="F145:F148" si="266">SUM(B145:E145)</f>
        <v>3598</v>
      </c>
      <c r="H145" s="63">
        <f>(3.5*H17)</f>
        <v>3598</v>
      </c>
      <c r="I145" s="63"/>
      <c r="J145" s="63"/>
      <c r="K145" s="63"/>
      <c r="L145" s="75">
        <f t="shared" ref="L145:L148" si="267">SUM(H145:K145)</f>
        <v>3598</v>
      </c>
      <c r="N145" s="63">
        <f>(3.5*N17)</f>
        <v>8673</v>
      </c>
      <c r="O145" s="63"/>
      <c r="P145" s="63"/>
      <c r="Q145" s="63"/>
      <c r="R145" s="75">
        <f t="shared" ref="R145:R148" si="268">SUM(N145:Q145)</f>
        <v>8673</v>
      </c>
      <c r="T145" s="63">
        <f>(5*T17)</f>
        <v>2675</v>
      </c>
      <c r="U145" s="63"/>
      <c r="V145" s="63"/>
      <c r="W145" s="63"/>
      <c r="X145" s="75">
        <f t="shared" ref="X145:X148" si="269">SUM(T145:W145)</f>
        <v>2675</v>
      </c>
      <c r="Y145" s="194"/>
      <c r="Z145" s="63">
        <f>(3.5*Z17)</f>
        <v>2149</v>
      </c>
      <c r="AA145" s="63"/>
      <c r="AB145" s="63"/>
      <c r="AC145" s="63"/>
      <c r="AD145" s="75">
        <f t="shared" ref="AD145:AD148" si="270">SUM(Z145:AC145)</f>
        <v>2149</v>
      </c>
      <c r="AE145" s="194"/>
      <c r="AF145" s="63">
        <f>(4*AF17)</f>
        <v>3120</v>
      </c>
      <c r="AG145" s="63"/>
      <c r="AH145" s="63"/>
      <c r="AI145" s="63"/>
      <c r="AJ145" s="75">
        <f t="shared" ref="AJ145:AJ148" si="271">SUM(AF145:AI145)</f>
        <v>3120</v>
      </c>
      <c r="AL145" s="63">
        <f>(3*AL17)</f>
        <v>0</v>
      </c>
      <c r="AM145" s="63"/>
      <c r="AN145" s="63"/>
      <c r="AO145" s="63"/>
      <c r="AP145" s="75">
        <f t="shared" ref="AP145:AP148" si="272">SUM(AL145:AO145)</f>
        <v>0</v>
      </c>
      <c r="AR145" s="75">
        <f t="shared" ref="AR145:AR148" si="273">B145+H145+N145+T145+AL145+AF145+Z145</f>
        <v>23813</v>
      </c>
      <c r="AS145" s="75">
        <f t="shared" si="265"/>
        <v>0</v>
      </c>
      <c r="AT145" s="75">
        <f t="shared" si="265"/>
        <v>0</v>
      </c>
      <c r="AU145" s="75">
        <f t="shared" si="265"/>
        <v>0</v>
      </c>
      <c r="AV145" s="75">
        <f t="shared" ref="AV145:AV148" si="274">SUM(AR145:AU145)</f>
        <v>23813</v>
      </c>
    </row>
    <row r="146" spans="1:48" x14ac:dyDescent="0.25">
      <c r="A146" s="32" t="s">
        <v>106</v>
      </c>
      <c r="B146" s="63">
        <f>9*B17</f>
        <v>9252</v>
      </c>
      <c r="C146" s="63"/>
      <c r="D146" s="63"/>
      <c r="E146" s="63"/>
      <c r="F146" s="75">
        <f t="shared" si="266"/>
        <v>9252</v>
      </c>
      <c r="H146" s="63">
        <f>9*H17</f>
        <v>9252</v>
      </c>
      <c r="I146" s="63"/>
      <c r="J146" s="63"/>
      <c r="K146" s="63"/>
      <c r="L146" s="75">
        <f t="shared" si="267"/>
        <v>9252</v>
      </c>
      <c r="N146" s="63">
        <f>9*N17</f>
        <v>22302</v>
      </c>
      <c r="O146" s="63"/>
      <c r="P146" s="63"/>
      <c r="Q146" s="63"/>
      <c r="R146" s="75">
        <f t="shared" si="268"/>
        <v>22302</v>
      </c>
      <c r="T146" s="63">
        <f>10*T17</f>
        <v>5350</v>
      </c>
      <c r="U146" s="63"/>
      <c r="V146" s="63"/>
      <c r="W146" s="63"/>
      <c r="X146" s="75">
        <f t="shared" si="269"/>
        <v>5350</v>
      </c>
      <c r="Y146" s="194"/>
      <c r="Z146" s="63">
        <f>9*Z17</f>
        <v>5526</v>
      </c>
      <c r="AA146" s="63"/>
      <c r="AB146" s="63"/>
      <c r="AC146" s="63"/>
      <c r="AD146" s="75">
        <f t="shared" si="270"/>
        <v>5526</v>
      </c>
      <c r="AE146" s="194"/>
      <c r="AF146" s="63">
        <f>9*AF17</f>
        <v>7020</v>
      </c>
      <c r="AG146" s="63"/>
      <c r="AH146" s="63"/>
      <c r="AI146" s="63"/>
      <c r="AJ146" s="75">
        <f t="shared" si="271"/>
        <v>7020</v>
      </c>
      <c r="AL146" s="63">
        <f>8*AL17</f>
        <v>0</v>
      </c>
      <c r="AM146" s="63"/>
      <c r="AN146" s="63"/>
      <c r="AO146" s="63"/>
      <c r="AP146" s="75">
        <f t="shared" si="272"/>
        <v>0</v>
      </c>
      <c r="AR146" s="75">
        <f t="shared" si="273"/>
        <v>58702</v>
      </c>
      <c r="AS146" s="75">
        <f t="shared" si="265"/>
        <v>0</v>
      </c>
      <c r="AT146" s="75">
        <f t="shared" si="265"/>
        <v>0</v>
      </c>
      <c r="AU146" s="75">
        <f t="shared" si="265"/>
        <v>0</v>
      </c>
      <c r="AV146" s="75">
        <f t="shared" si="274"/>
        <v>58702</v>
      </c>
    </row>
    <row r="147" spans="1:48" x14ac:dyDescent="0.25">
      <c r="A147" s="32" t="s">
        <v>107</v>
      </c>
      <c r="B147" s="63"/>
      <c r="C147" s="63"/>
      <c r="D147" s="63"/>
      <c r="E147" s="63"/>
      <c r="F147" s="75">
        <f t="shared" si="266"/>
        <v>0</v>
      </c>
      <c r="H147" s="63"/>
      <c r="I147" s="63"/>
      <c r="J147" s="63"/>
      <c r="K147" s="63"/>
      <c r="L147" s="75">
        <f t="shared" si="267"/>
        <v>0</v>
      </c>
      <c r="N147" s="63">
        <v>175000</v>
      </c>
      <c r="O147" s="63"/>
      <c r="P147" s="63"/>
      <c r="Q147" s="63"/>
      <c r="R147" s="75">
        <f t="shared" si="268"/>
        <v>175000</v>
      </c>
      <c r="T147" s="63"/>
      <c r="U147" s="63"/>
      <c r="V147" s="63"/>
      <c r="W147" s="63"/>
      <c r="X147" s="75">
        <f t="shared" si="269"/>
        <v>0</v>
      </c>
      <c r="Y147" s="194"/>
      <c r="Z147" s="63"/>
      <c r="AA147" s="63"/>
      <c r="AB147" s="63"/>
      <c r="AC147" s="63"/>
      <c r="AD147" s="75">
        <f t="shared" si="270"/>
        <v>0</v>
      </c>
      <c r="AE147" s="194"/>
      <c r="AF147" s="63"/>
      <c r="AG147" s="63"/>
      <c r="AH147" s="63"/>
      <c r="AI147" s="63"/>
      <c r="AJ147" s="75">
        <f t="shared" si="271"/>
        <v>0</v>
      </c>
      <c r="AL147" s="63"/>
      <c r="AM147" s="63"/>
      <c r="AN147" s="63"/>
      <c r="AO147" s="63"/>
      <c r="AP147" s="75">
        <f t="shared" si="272"/>
        <v>0</v>
      </c>
      <c r="AR147" s="75">
        <f t="shared" si="273"/>
        <v>175000</v>
      </c>
      <c r="AS147" s="75">
        <f t="shared" si="265"/>
        <v>0</v>
      </c>
      <c r="AT147" s="75">
        <f t="shared" si="265"/>
        <v>0</v>
      </c>
      <c r="AU147" s="75">
        <f t="shared" si="265"/>
        <v>0</v>
      </c>
      <c r="AV147" s="75">
        <f t="shared" si="274"/>
        <v>175000</v>
      </c>
    </row>
    <row r="148" spans="1:48" x14ac:dyDescent="0.25">
      <c r="A148" s="33" t="s">
        <v>108</v>
      </c>
      <c r="B148" s="64">
        <f>57*B17</f>
        <v>58596</v>
      </c>
      <c r="C148" s="64"/>
      <c r="D148" s="64"/>
      <c r="E148" s="64"/>
      <c r="F148" s="75">
        <f t="shared" si="266"/>
        <v>58596</v>
      </c>
      <c r="H148" s="64">
        <f>57*H17</f>
        <v>58596</v>
      </c>
      <c r="I148" s="64"/>
      <c r="J148" s="64"/>
      <c r="K148" s="64"/>
      <c r="L148" s="75">
        <f t="shared" si="267"/>
        <v>58596</v>
      </c>
      <c r="N148" s="64">
        <f>57*N17</f>
        <v>141246</v>
      </c>
      <c r="O148" s="64"/>
      <c r="P148" s="64"/>
      <c r="Q148" s="64"/>
      <c r="R148" s="75">
        <f t="shared" si="268"/>
        <v>141246</v>
      </c>
      <c r="T148" s="64">
        <f>59*T17</f>
        <v>31565</v>
      </c>
      <c r="U148" s="64"/>
      <c r="V148" s="64"/>
      <c r="W148" s="64"/>
      <c r="X148" s="75">
        <f t="shared" si="269"/>
        <v>31565</v>
      </c>
      <c r="Y148" s="194"/>
      <c r="Z148" s="64">
        <f>57*Z17</f>
        <v>34998</v>
      </c>
      <c r="AA148" s="64"/>
      <c r="AB148" s="64"/>
      <c r="AC148" s="64"/>
      <c r="AD148" s="75">
        <f t="shared" si="270"/>
        <v>34998</v>
      </c>
      <c r="AE148" s="194"/>
      <c r="AF148" s="64">
        <f>57*AF17</f>
        <v>44460</v>
      </c>
      <c r="AG148" s="64"/>
      <c r="AH148" s="64"/>
      <c r="AI148" s="64"/>
      <c r="AJ148" s="75">
        <f t="shared" si="271"/>
        <v>44460</v>
      </c>
      <c r="AL148" s="64">
        <f>50*AL17</f>
        <v>0</v>
      </c>
      <c r="AM148" s="64"/>
      <c r="AN148" s="64"/>
      <c r="AO148" s="64"/>
      <c r="AP148" s="75">
        <f t="shared" si="272"/>
        <v>0</v>
      </c>
      <c r="AR148" s="75">
        <f t="shared" si="273"/>
        <v>369461</v>
      </c>
      <c r="AS148" s="75">
        <f t="shared" si="265"/>
        <v>0</v>
      </c>
      <c r="AT148" s="75">
        <f t="shared" si="265"/>
        <v>0</v>
      </c>
      <c r="AU148" s="75">
        <f t="shared" si="265"/>
        <v>0</v>
      </c>
      <c r="AV148" s="75">
        <f t="shared" si="274"/>
        <v>369461</v>
      </c>
    </row>
    <row r="149" spans="1:48" x14ac:dyDescent="0.25">
      <c r="A149" s="34"/>
      <c r="B149" s="76">
        <f>SUM(B144:B148)</f>
        <v>104342</v>
      </c>
      <c r="C149" s="76">
        <f t="shared" ref="C149:F149" si="275">SUM(C144:C148)</f>
        <v>0</v>
      </c>
      <c r="D149" s="76">
        <f t="shared" si="275"/>
        <v>0</v>
      </c>
      <c r="E149" s="76">
        <f t="shared" si="275"/>
        <v>0</v>
      </c>
      <c r="F149" s="76">
        <f t="shared" si="275"/>
        <v>104342</v>
      </c>
      <c r="H149" s="76">
        <f>SUM(H144:H148)</f>
        <v>104342</v>
      </c>
      <c r="I149" s="76">
        <f t="shared" ref="I149:L149" si="276">SUM(I144:I148)</f>
        <v>0</v>
      </c>
      <c r="J149" s="76">
        <f t="shared" si="276"/>
        <v>0</v>
      </c>
      <c r="K149" s="76">
        <f t="shared" si="276"/>
        <v>0</v>
      </c>
      <c r="L149" s="76">
        <f t="shared" si="276"/>
        <v>104342</v>
      </c>
      <c r="N149" s="76">
        <f>SUM(N144:N148)</f>
        <v>426517</v>
      </c>
      <c r="O149" s="76">
        <f t="shared" ref="O149:R149" si="277">SUM(O144:O148)</f>
        <v>0</v>
      </c>
      <c r="P149" s="76">
        <f t="shared" si="277"/>
        <v>0</v>
      </c>
      <c r="Q149" s="76">
        <f t="shared" si="277"/>
        <v>0</v>
      </c>
      <c r="R149" s="76">
        <f t="shared" si="277"/>
        <v>426517</v>
      </c>
      <c r="T149" s="76">
        <f>SUM(T144:T148)</f>
        <v>57780</v>
      </c>
      <c r="U149" s="76">
        <f t="shared" ref="U149:X149" si="278">SUM(U144:U148)</f>
        <v>0</v>
      </c>
      <c r="V149" s="76">
        <f t="shared" si="278"/>
        <v>0</v>
      </c>
      <c r="W149" s="76">
        <f t="shared" si="278"/>
        <v>0</v>
      </c>
      <c r="X149" s="76">
        <f t="shared" si="278"/>
        <v>57780</v>
      </c>
      <c r="Y149" s="199"/>
      <c r="Z149" s="76">
        <f>SUM(Z144:Z148)</f>
        <v>62321</v>
      </c>
      <c r="AA149" s="76">
        <f t="shared" ref="AA149:AD149" si="279">SUM(AA144:AA148)</f>
        <v>0</v>
      </c>
      <c r="AB149" s="76">
        <f t="shared" si="279"/>
        <v>0</v>
      </c>
      <c r="AC149" s="76">
        <f t="shared" si="279"/>
        <v>0</v>
      </c>
      <c r="AD149" s="76">
        <f t="shared" si="279"/>
        <v>62321</v>
      </c>
      <c r="AE149" s="199"/>
      <c r="AF149" s="76">
        <f>SUM(AF144:AF148)</f>
        <v>79560</v>
      </c>
      <c r="AG149" s="76">
        <f t="shared" ref="AG149:AJ149" si="280">SUM(AG144:AG148)</f>
        <v>0</v>
      </c>
      <c r="AH149" s="76">
        <f t="shared" si="280"/>
        <v>0</v>
      </c>
      <c r="AI149" s="76">
        <f t="shared" si="280"/>
        <v>0</v>
      </c>
      <c r="AJ149" s="76">
        <f t="shared" si="280"/>
        <v>79560</v>
      </c>
      <c r="AL149" s="76">
        <f>SUM(AL144:AL148)</f>
        <v>6500</v>
      </c>
      <c r="AM149" s="76">
        <f t="shared" ref="AM149:AP149" si="281">SUM(AM144:AM148)</f>
        <v>0</v>
      </c>
      <c r="AN149" s="76">
        <f t="shared" si="281"/>
        <v>0</v>
      </c>
      <c r="AO149" s="76">
        <f t="shared" si="281"/>
        <v>0</v>
      </c>
      <c r="AP149" s="76">
        <f t="shared" si="281"/>
        <v>6500</v>
      </c>
      <c r="AR149" s="76">
        <f>SUM(AR144:AR148)</f>
        <v>841362</v>
      </c>
      <c r="AS149" s="76">
        <f t="shared" ref="AS149:AV149" si="282">SUM(AS144:AS148)</f>
        <v>0</v>
      </c>
      <c r="AT149" s="76">
        <f t="shared" si="282"/>
        <v>0</v>
      </c>
      <c r="AU149" s="76">
        <f t="shared" si="282"/>
        <v>0</v>
      </c>
      <c r="AV149" s="76">
        <f t="shared" si="282"/>
        <v>841362</v>
      </c>
    </row>
    <row r="150" spans="1:48" x14ac:dyDescent="0.25">
      <c r="B150" s="77"/>
      <c r="C150" s="77"/>
      <c r="D150" s="77"/>
      <c r="E150" s="77"/>
      <c r="F150" s="77"/>
      <c r="H150" s="77"/>
      <c r="I150" s="77"/>
      <c r="J150" s="77"/>
      <c r="K150" s="77"/>
      <c r="L150" s="77"/>
      <c r="N150" s="77"/>
      <c r="O150" s="77"/>
      <c r="P150" s="77"/>
      <c r="Q150" s="77"/>
      <c r="R150" s="77"/>
      <c r="T150" s="77"/>
      <c r="U150" s="77"/>
      <c r="V150" s="77"/>
      <c r="W150" s="77"/>
      <c r="X150" s="77"/>
      <c r="Y150" s="79"/>
      <c r="Z150" s="77"/>
      <c r="AA150" s="77"/>
      <c r="AB150" s="77"/>
      <c r="AC150" s="77"/>
      <c r="AD150" s="77"/>
      <c r="AE150" s="79"/>
      <c r="AF150" s="77"/>
      <c r="AG150" s="77"/>
      <c r="AH150" s="77"/>
      <c r="AI150" s="77"/>
      <c r="AJ150" s="77"/>
      <c r="AL150" s="77"/>
      <c r="AM150" s="77"/>
      <c r="AN150" s="77"/>
      <c r="AO150" s="77"/>
      <c r="AP150" s="77"/>
      <c r="AR150" s="77"/>
      <c r="AS150" s="77"/>
      <c r="AT150" s="77"/>
      <c r="AU150" s="77"/>
      <c r="AV150" s="77"/>
    </row>
    <row r="151" spans="1:48" x14ac:dyDescent="0.25">
      <c r="A151" s="28"/>
      <c r="B151" s="78" t="s">
        <v>157</v>
      </c>
      <c r="C151" s="78" t="s">
        <v>158</v>
      </c>
      <c r="D151" s="78" t="s">
        <v>159</v>
      </c>
      <c r="E151" s="78" t="str">
        <f>E134</f>
        <v>Other</v>
      </c>
      <c r="F151" s="78" t="str">
        <f>F134</f>
        <v>FY28- Mtn</v>
      </c>
      <c r="H151" s="78" t="s">
        <v>157</v>
      </c>
      <c r="I151" s="78" t="s">
        <v>158</v>
      </c>
      <c r="J151" s="78" t="s">
        <v>159</v>
      </c>
      <c r="K151" s="78" t="str">
        <f>K134</f>
        <v>Other</v>
      </c>
      <c r="L151" s="78" t="str">
        <f>L134</f>
        <v>FY28- Bon</v>
      </c>
      <c r="N151" s="78" t="s">
        <v>157</v>
      </c>
      <c r="O151" s="78" t="s">
        <v>158</v>
      </c>
      <c r="P151" s="78" t="s">
        <v>159</v>
      </c>
      <c r="Q151" s="78" t="str">
        <f>Q134</f>
        <v>Other</v>
      </c>
      <c r="R151" s="78" t="str">
        <f>R134</f>
        <v>FY28- East</v>
      </c>
      <c r="T151" s="78" t="s">
        <v>157</v>
      </c>
      <c r="U151" s="78" t="s">
        <v>158</v>
      </c>
      <c r="V151" s="78" t="s">
        <v>159</v>
      </c>
      <c r="W151" s="78" t="str">
        <f>W134</f>
        <v>Other</v>
      </c>
      <c r="X151" s="78" t="str">
        <f>X134</f>
        <v>FY28- Cactus</v>
      </c>
      <c r="Y151" s="201"/>
      <c r="Z151" s="78" t="s">
        <v>157</v>
      </c>
      <c r="AA151" s="78" t="s">
        <v>158</v>
      </c>
      <c r="AB151" s="78" t="s">
        <v>159</v>
      </c>
      <c r="AC151" s="78" t="str">
        <f>AC134</f>
        <v>Other</v>
      </c>
      <c r="AD151" s="78" t="str">
        <f>AD134</f>
        <v>FY28- Sahara</v>
      </c>
      <c r="AE151" s="201"/>
      <c r="AF151" s="78" t="s">
        <v>157</v>
      </c>
      <c r="AG151" s="78" t="s">
        <v>158</v>
      </c>
      <c r="AH151" s="78" t="s">
        <v>159</v>
      </c>
      <c r="AI151" s="78" t="str">
        <f>AI134</f>
        <v>Other</v>
      </c>
      <c r="AJ151" s="78" t="str">
        <f>AJ134</f>
        <v>FY27- VV</v>
      </c>
      <c r="AL151" s="78" t="s">
        <v>157</v>
      </c>
      <c r="AM151" s="78" t="s">
        <v>158</v>
      </c>
      <c r="AN151" s="78" t="s">
        <v>159</v>
      </c>
      <c r="AO151" s="78" t="str">
        <f>AO134</f>
        <v>Grant</v>
      </c>
      <c r="AP151" s="78" t="str">
        <f>AP134</f>
        <v>FY28 - Central</v>
      </c>
      <c r="AR151" s="78" t="s">
        <v>157</v>
      </c>
      <c r="AS151" s="78" t="s">
        <v>158</v>
      </c>
      <c r="AT151" s="78" t="s">
        <v>159</v>
      </c>
      <c r="AU151" s="78" t="str">
        <f>AU134</f>
        <v>Other</v>
      </c>
      <c r="AV151" s="78" t="str">
        <f>AV134</f>
        <v>FY28- Sys</v>
      </c>
    </row>
    <row r="152" spans="1:48" x14ac:dyDescent="0.25">
      <c r="A152" s="35" t="s">
        <v>109</v>
      </c>
      <c r="B152" s="75">
        <f>(6500*2)*1.02*1.02</f>
        <v>13525.2</v>
      </c>
      <c r="C152" s="75"/>
      <c r="D152" s="75"/>
      <c r="E152" s="75"/>
      <c r="F152" s="75">
        <f>SUM(B152:E152)</f>
        <v>13525.2</v>
      </c>
      <c r="H152" s="75">
        <f>(6500*2)*1.02*1.02</f>
        <v>13525.2</v>
      </c>
      <c r="I152" s="75"/>
      <c r="J152" s="75"/>
      <c r="K152" s="75"/>
      <c r="L152" s="75">
        <f>SUM(H152:K152)</f>
        <v>13525.2</v>
      </c>
      <c r="N152" s="75">
        <f>((6500*3)+5000)*1.03*1.03</f>
        <v>25992.05</v>
      </c>
      <c r="O152" s="75"/>
      <c r="P152" s="75"/>
      <c r="Q152" s="75"/>
      <c r="R152" s="75">
        <f>SUM(N152:Q152)</f>
        <v>25992.05</v>
      </c>
      <c r="T152" s="60">
        <v>0</v>
      </c>
      <c r="U152" s="75"/>
      <c r="V152" s="75"/>
      <c r="W152" s="75"/>
      <c r="X152" s="75">
        <f>SUM(T152:W152)</f>
        <v>0</v>
      </c>
      <c r="Y152" s="194"/>
      <c r="Z152" s="60">
        <f>6500*1.03</f>
        <v>6695</v>
      </c>
      <c r="AA152" s="75"/>
      <c r="AB152" s="75"/>
      <c r="AC152" s="75"/>
      <c r="AD152" s="75">
        <f>SUM(Z152:AC152)</f>
        <v>6695</v>
      </c>
      <c r="AE152" s="194"/>
      <c r="AF152" s="60">
        <v>0</v>
      </c>
      <c r="AG152" s="75"/>
      <c r="AH152" s="75"/>
      <c r="AI152" s="75"/>
      <c r="AJ152" s="75">
        <f>SUM(AF152:AI152)</f>
        <v>0</v>
      </c>
      <c r="AL152" s="60">
        <v>0</v>
      </c>
      <c r="AM152" s="75"/>
      <c r="AN152" s="75"/>
      <c r="AO152" s="75">
        <v>6500</v>
      </c>
      <c r="AP152" s="75">
        <f>SUM(AL152:AO152)</f>
        <v>6500</v>
      </c>
      <c r="AR152" s="60">
        <f>B152+H152+N152+T152+AL152+AF152+Z152</f>
        <v>59737.45</v>
      </c>
      <c r="AS152" s="60">
        <f t="shared" ref="AS152:AU158" si="283">C152+I152+O152+U152+AM152+AG152+AA152</f>
        <v>0</v>
      </c>
      <c r="AT152" s="60">
        <f t="shared" si="283"/>
        <v>0</v>
      </c>
      <c r="AU152" s="60">
        <f t="shared" si="283"/>
        <v>6500</v>
      </c>
      <c r="AV152" s="75">
        <f>SUM(AR152:AU152)</f>
        <v>66237.45</v>
      </c>
    </row>
    <row r="153" spans="1:48" x14ac:dyDescent="0.25">
      <c r="A153" s="32" t="s">
        <v>110</v>
      </c>
      <c r="B153" s="63"/>
      <c r="C153" s="63">
        <f>(80*B17)</f>
        <v>82240</v>
      </c>
      <c r="D153" s="63"/>
      <c r="E153" s="63"/>
      <c r="F153" s="75">
        <f t="shared" ref="F153:F158" si="284">SUM(B153:E153)</f>
        <v>82240</v>
      </c>
      <c r="H153" s="63"/>
      <c r="I153" s="63">
        <f>(80*H17)</f>
        <v>82240</v>
      </c>
      <c r="J153" s="63"/>
      <c r="K153" s="63"/>
      <c r="L153" s="75">
        <f t="shared" ref="L153:L158" si="285">SUM(H153:K153)</f>
        <v>82240</v>
      </c>
      <c r="N153" s="63"/>
      <c r="O153" s="63">
        <f>(80*N17)</f>
        <v>198240</v>
      </c>
      <c r="P153" s="63"/>
      <c r="Q153" s="63"/>
      <c r="R153" s="75">
        <f t="shared" ref="R153:R158" si="286">SUM(N153:Q153)</f>
        <v>198240</v>
      </c>
      <c r="T153" s="63"/>
      <c r="U153" s="61">
        <f>(230*T17)</f>
        <v>123050</v>
      </c>
      <c r="V153" s="63"/>
      <c r="W153" s="63"/>
      <c r="X153" s="75">
        <f t="shared" ref="X153:X158" si="287">SUM(T153:W153)</f>
        <v>123050</v>
      </c>
      <c r="Y153" s="194"/>
      <c r="Z153" s="63"/>
      <c r="AA153" s="61">
        <f>(225*Z17)</f>
        <v>138150</v>
      </c>
      <c r="AB153" s="63"/>
      <c r="AC153" s="63"/>
      <c r="AD153" s="75">
        <f t="shared" ref="AD153:AD158" si="288">SUM(Z153:AC153)</f>
        <v>138150</v>
      </c>
      <c r="AE153" s="194"/>
      <c r="AF153" s="63"/>
      <c r="AG153" s="61">
        <f>(220*AF17)</f>
        <v>171600</v>
      </c>
      <c r="AH153" s="63"/>
      <c r="AI153" s="63"/>
      <c r="AJ153" s="75">
        <f t="shared" ref="AJ153:AJ158" si="289">SUM(AF153:AI153)</f>
        <v>171600</v>
      </c>
      <c r="AL153" s="63"/>
      <c r="AM153" s="63"/>
      <c r="AN153" s="63"/>
      <c r="AO153" s="63"/>
      <c r="AP153" s="75">
        <f t="shared" ref="AP153:AP158" si="290">SUM(AL153:AO153)</f>
        <v>0</v>
      </c>
      <c r="AR153" s="60">
        <f t="shared" ref="AR153:AR158" si="291">B153+H153+N153+T153+AL153+AF153+Z153</f>
        <v>0</v>
      </c>
      <c r="AS153" s="60">
        <f t="shared" si="283"/>
        <v>795520</v>
      </c>
      <c r="AT153" s="60">
        <f t="shared" si="283"/>
        <v>0</v>
      </c>
      <c r="AU153" s="60">
        <f t="shared" si="283"/>
        <v>0</v>
      </c>
      <c r="AV153" s="75">
        <f t="shared" ref="AV153:AV158" si="292">SUM(AR153:AU153)</f>
        <v>795520</v>
      </c>
    </row>
    <row r="154" spans="1:48" x14ac:dyDescent="0.25">
      <c r="A154" s="32" t="s">
        <v>111</v>
      </c>
      <c r="B154" s="63">
        <f>(215*11*B36)-B124</f>
        <v>39825</v>
      </c>
      <c r="C154" s="63">
        <f>(215*11*C36)-C124</f>
        <v>11825</v>
      </c>
      <c r="D154" s="63">
        <f>(195*11*D36)-D124</f>
        <v>0</v>
      </c>
      <c r="E154" s="63">
        <f>(195*11*E36)-E124</f>
        <v>0</v>
      </c>
      <c r="F154" s="75">
        <f t="shared" si="284"/>
        <v>51650</v>
      </c>
      <c r="H154" s="63">
        <f>(215*11*H36)-H124</f>
        <v>73125</v>
      </c>
      <c r="I154" s="63">
        <f>(215*11*I36)-I124</f>
        <v>9460</v>
      </c>
      <c r="J154" s="63">
        <f>(195*11*J36)-J124</f>
        <v>0</v>
      </c>
      <c r="K154" s="63">
        <f>(195*11*K36)-K124</f>
        <v>0</v>
      </c>
      <c r="L154" s="75">
        <f t="shared" si="285"/>
        <v>82585</v>
      </c>
      <c r="N154" s="63">
        <f>(215*11*N36)-N124</f>
        <v>138965</v>
      </c>
      <c r="O154" s="63">
        <f>(215*11*O36)-O124</f>
        <v>33110</v>
      </c>
      <c r="P154" s="63">
        <f>(195*11*P36)-P124</f>
        <v>0</v>
      </c>
      <c r="Q154" s="63">
        <f>(195*11*Q36)-Q124</f>
        <v>0</v>
      </c>
      <c r="R154" s="75">
        <f t="shared" si="286"/>
        <v>172075</v>
      </c>
      <c r="T154" s="63">
        <f>(205*11*T36)-T124</f>
        <v>51865</v>
      </c>
      <c r="U154" s="63">
        <f>(205*11*U36)-U124</f>
        <v>6765</v>
      </c>
      <c r="V154" s="63">
        <f>(195*11*V36)-V124</f>
        <v>0</v>
      </c>
      <c r="W154" s="63">
        <f>(195*11*W36)-W124</f>
        <v>0</v>
      </c>
      <c r="X154" s="75">
        <f t="shared" si="287"/>
        <v>58630</v>
      </c>
      <c r="Y154" s="194"/>
      <c r="Z154" s="63">
        <f>(210*11*Z36)-Z124</f>
        <v>58905</v>
      </c>
      <c r="AA154" s="63">
        <f>(210*11*AA36)-AA124</f>
        <v>6930</v>
      </c>
      <c r="AB154" s="63">
        <f>(195*11*AB36)-AB124</f>
        <v>0</v>
      </c>
      <c r="AC154" s="63">
        <f>(195*11*AC36)-AC124</f>
        <v>0</v>
      </c>
      <c r="AD154" s="75">
        <f t="shared" si="288"/>
        <v>65835</v>
      </c>
      <c r="AE154" s="194"/>
      <c r="AF154" s="63">
        <f>(200*11*AF36)-AF124</f>
        <v>70400</v>
      </c>
      <c r="AG154" s="63">
        <f>(200*11*AG36)-AG124</f>
        <v>8800</v>
      </c>
      <c r="AH154" s="63">
        <f>(195*11*AH36)-AH124</f>
        <v>0</v>
      </c>
      <c r="AI154" s="63">
        <f>(195*11*AI36)-AI124</f>
        <v>0</v>
      </c>
      <c r="AJ154" s="75">
        <f t="shared" si="289"/>
        <v>79200</v>
      </c>
      <c r="AL154" s="63"/>
      <c r="AM154" s="63"/>
      <c r="AN154" s="63"/>
      <c r="AO154" s="63"/>
      <c r="AP154" s="75">
        <f t="shared" si="290"/>
        <v>0</v>
      </c>
      <c r="AR154" s="60">
        <f t="shared" si="291"/>
        <v>433085</v>
      </c>
      <c r="AS154" s="60">
        <f t="shared" si="283"/>
        <v>76890</v>
      </c>
      <c r="AT154" s="60">
        <f t="shared" si="283"/>
        <v>0</v>
      </c>
      <c r="AU154" s="60">
        <f t="shared" si="283"/>
        <v>0</v>
      </c>
      <c r="AV154" s="75">
        <f t="shared" si="292"/>
        <v>509975</v>
      </c>
    </row>
    <row r="155" spans="1:48" x14ac:dyDescent="0.25">
      <c r="A155" s="32" t="s">
        <v>112</v>
      </c>
      <c r="B155" s="63"/>
      <c r="C155" s="63"/>
      <c r="D155" s="63"/>
      <c r="E155" s="63"/>
      <c r="F155" s="75">
        <f t="shared" si="284"/>
        <v>0</v>
      </c>
      <c r="H155" s="63"/>
      <c r="I155" s="63"/>
      <c r="J155" s="63"/>
      <c r="K155" s="63"/>
      <c r="L155" s="75">
        <f t="shared" si="285"/>
        <v>0</v>
      </c>
      <c r="N155" s="63"/>
      <c r="O155" s="63"/>
      <c r="P155" s="63"/>
      <c r="Q155" s="63"/>
      <c r="R155" s="75">
        <f t="shared" si="286"/>
        <v>0</v>
      </c>
      <c r="T155" s="63"/>
      <c r="U155" s="63"/>
      <c r="V155" s="63"/>
      <c r="W155" s="63"/>
      <c r="X155" s="75">
        <f t="shared" si="287"/>
        <v>0</v>
      </c>
      <c r="Y155" s="194"/>
      <c r="Z155" s="63"/>
      <c r="AA155" s="63"/>
      <c r="AB155" s="63"/>
      <c r="AC155" s="63"/>
      <c r="AD155" s="75">
        <f t="shared" si="288"/>
        <v>0</v>
      </c>
      <c r="AE155" s="194"/>
      <c r="AF155" s="63"/>
      <c r="AG155" s="63"/>
      <c r="AH155" s="63"/>
      <c r="AI155" s="63"/>
      <c r="AJ155" s="75">
        <f t="shared" si="289"/>
        <v>0</v>
      </c>
      <c r="AL155" s="63"/>
      <c r="AM155" s="63"/>
      <c r="AN155" s="63"/>
      <c r="AO155" s="63"/>
      <c r="AP155" s="75">
        <f t="shared" si="290"/>
        <v>0</v>
      </c>
      <c r="AR155" s="60">
        <f t="shared" si="291"/>
        <v>0</v>
      </c>
      <c r="AS155" s="60">
        <f t="shared" si="283"/>
        <v>0</v>
      </c>
      <c r="AT155" s="60">
        <f t="shared" si="283"/>
        <v>0</v>
      </c>
      <c r="AU155" s="60">
        <f t="shared" si="283"/>
        <v>0</v>
      </c>
      <c r="AV155" s="75">
        <f t="shared" si="292"/>
        <v>0</v>
      </c>
    </row>
    <row r="156" spans="1:48" x14ac:dyDescent="0.25">
      <c r="A156" s="32" t="s">
        <v>113</v>
      </c>
      <c r="B156" s="63">
        <f>B68*0.005</f>
        <v>49755.200000000004</v>
      </c>
      <c r="C156" s="63"/>
      <c r="D156" s="63"/>
      <c r="E156" s="63"/>
      <c r="F156" s="75">
        <f t="shared" si="284"/>
        <v>49755.200000000004</v>
      </c>
      <c r="H156" s="63">
        <f>H68*0.005</f>
        <v>49755.200000000004</v>
      </c>
      <c r="I156" s="63"/>
      <c r="J156" s="63"/>
      <c r="K156" s="63"/>
      <c r="L156" s="75">
        <f t="shared" si="285"/>
        <v>49755.200000000004</v>
      </c>
      <c r="N156" s="63">
        <f>N68*0.005</f>
        <v>119935.2</v>
      </c>
      <c r="O156" s="63"/>
      <c r="P156" s="63"/>
      <c r="Q156" s="63"/>
      <c r="R156" s="75">
        <f t="shared" si="286"/>
        <v>119935.2</v>
      </c>
      <c r="T156" s="63">
        <f>T68*0.005</f>
        <v>25894</v>
      </c>
      <c r="U156" s="63"/>
      <c r="V156" s="63"/>
      <c r="W156" s="63"/>
      <c r="X156" s="75">
        <f t="shared" si="287"/>
        <v>25894</v>
      </c>
      <c r="Y156" s="194"/>
      <c r="Z156" s="63">
        <f>Z68*0.005</f>
        <v>29717.600000000002</v>
      </c>
      <c r="AA156" s="63"/>
      <c r="AB156" s="63"/>
      <c r="AC156" s="63"/>
      <c r="AD156" s="75">
        <f t="shared" si="288"/>
        <v>29717.600000000002</v>
      </c>
      <c r="AE156" s="194"/>
      <c r="AF156" s="63">
        <f>AF68*0.005</f>
        <v>37752</v>
      </c>
      <c r="AG156" s="63"/>
      <c r="AH156" s="63"/>
      <c r="AI156" s="63"/>
      <c r="AJ156" s="75">
        <f t="shared" si="289"/>
        <v>37752</v>
      </c>
      <c r="AL156" s="63"/>
      <c r="AM156" s="63"/>
      <c r="AN156" s="63"/>
      <c r="AO156" s="63"/>
      <c r="AP156" s="75">
        <f t="shared" si="290"/>
        <v>0</v>
      </c>
      <c r="AR156" s="60">
        <f t="shared" si="291"/>
        <v>312809.19999999995</v>
      </c>
      <c r="AS156" s="60">
        <f t="shared" si="283"/>
        <v>0</v>
      </c>
      <c r="AT156" s="60">
        <f t="shared" si="283"/>
        <v>0</v>
      </c>
      <c r="AU156" s="60">
        <f t="shared" si="283"/>
        <v>0</v>
      </c>
      <c r="AV156" s="75">
        <f t="shared" si="292"/>
        <v>312809.19999999995</v>
      </c>
    </row>
    <row r="157" spans="1:48" x14ac:dyDescent="0.25">
      <c r="A157" s="32" t="s">
        <v>114</v>
      </c>
      <c r="B157" s="63">
        <f>(B68*0.005)</f>
        <v>49755.200000000004</v>
      </c>
      <c r="C157" s="63"/>
      <c r="D157" s="63"/>
      <c r="E157" s="63"/>
      <c r="F157" s="75">
        <f t="shared" si="284"/>
        <v>49755.200000000004</v>
      </c>
      <c r="H157" s="63">
        <f>(H68*0.005)</f>
        <v>49755.200000000004</v>
      </c>
      <c r="I157" s="63"/>
      <c r="J157" s="63"/>
      <c r="K157" s="63"/>
      <c r="L157" s="75">
        <f t="shared" si="285"/>
        <v>49755.200000000004</v>
      </c>
      <c r="N157" s="63">
        <f>(N68*0.005)</f>
        <v>119935.2</v>
      </c>
      <c r="O157" s="63"/>
      <c r="P157" s="63"/>
      <c r="Q157" s="63"/>
      <c r="R157" s="75">
        <f t="shared" si="286"/>
        <v>119935.2</v>
      </c>
      <c r="T157" s="63">
        <f>(T68*0.005)</f>
        <v>25894</v>
      </c>
      <c r="U157" s="63"/>
      <c r="V157" s="63"/>
      <c r="W157" s="63"/>
      <c r="X157" s="75">
        <f t="shared" si="287"/>
        <v>25894</v>
      </c>
      <c r="Y157" s="194"/>
      <c r="Z157" s="63">
        <f>(Z68*0.005)</f>
        <v>29717.600000000002</v>
      </c>
      <c r="AA157" s="63"/>
      <c r="AB157" s="63"/>
      <c r="AC157" s="63"/>
      <c r="AD157" s="75">
        <f t="shared" si="288"/>
        <v>29717.600000000002</v>
      </c>
      <c r="AE157" s="194"/>
      <c r="AF157" s="63">
        <f>(AF68*0.005)</f>
        <v>37752</v>
      </c>
      <c r="AG157" s="63"/>
      <c r="AH157" s="63"/>
      <c r="AI157" s="63"/>
      <c r="AJ157" s="75">
        <f t="shared" si="289"/>
        <v>37752</v>
      </c>
      <c r="AL157" s="63"/>
      <c r="AM157" s="63"/>
      <c r="AN157" s="63"/>
      <c r="AO157" s="63"/>
      <c r="AP157" s="75">
        <f t="shared" si="290"/>
        <v>0</v>
      </c>
      <c r="AR157" s="60">
        <f t="shared" si="291"/>
        <v>312809.19999999995</v>
      </c>
      <c r="AS157" s="60">
        <f t="shared" si="283"/>
        <v>0</v>
      </c>
      <c r="AT157" s="60">
        <f t="shared" si="283"/>
        <v>0</v>
      </c>
      <c r="AU157" s="60">
        <f t="shared" si="283"/>
        <v>0</v>
      </c>
      <c r="AV157" s="75">
        <f t="shared" si="292"/>
        <v>312809.19999999995</v>
      </c>
    </row>
    <row r="158" spans="1:48" x14ac:dyDescent="0.25">
      <c r="A158" s="33" t="s">
        <v>115</v>
      </c>
      <c r="B158" s="64"/>
      <c r="C158" s="64"/>
      <c r="D158" s="64"/>
      <c r="E158" s="64"/>
      <c r="F158" s="75">
        <f t="shared" si="284"/>
        <v>0</v>
      </c>
      <c r="H158" s="64"/>
      <c r="I158" s="64"/>
      <c r="J158" s="64"/>
      <c r="K158" s="64"/>
      <c r="L158" s="75">
        <f t="shared" si="285"/>
        <v>0</v>
      </c>
      <c r="N158" s="64"/>
      <c r="O158" s="64"/>
      <c r="P158" s="64"/>
      <c r="Q158" s="64"/>
      <c r="R158" s="75">
        <f t="shared" si="286"/>
        <v>0</v>
      </c>
      <c r="T158" s="64"/>
      <c r="U158" s="64"/>
      <c r="V158" s="64"/>
      <c r="W158" s="64"/>
      <c r="X158" s="75">
        <f t="shared" si="287"/>
        <v>0</v>
      </c>
      <c r="Y158" s="194"/>
      <c r="Z158" s="64"/>
      <c r="AA158" s="64"/>
      <c r="AB158" s="64"/>
      <c r="AC158" s="64"/>
      <c r="AD158" s="75">
        <f t="shared" si="288"/>
        <v>0</v>
      </c>
      <c r="AE158" s="194"/>
      <c r="AF158" s="64"/>
      <c r="AG158" s="64"/>
      <c r="AH158" s="64"/>
      <c r="AI158" s="64"/>
      <c r="AJ158" s="75">
        <f t="shared" si="289"/>
        <v>0</v>
      </c>
      <c r="AL158" s="64"/>
      <c r="AM158" s="64"/>
      <c r="AN158" s="64"/>
      <c r="AO158" s="64"/>
      <c r="AP158" s="75">
        <f t="shared" si="290"/>
        <v>0</v>
      </c>
      <c r="AR158" s="60">
        <f t="shared" si="291"/>
        <v>0</v>
      </c>
      <c r="AS158" s="60">
        <f t="shared" si="283"/>
        <v>0</v>
      </c>
      <c r="AT158" s="60">
        <f t="shared" si="283"/>
        <v>0</v>
      </c>
      <c r="AU158" s="60">
        <f t="shared" si="283"/>
        <v>0</v>
      </c>
      <c r="AV158" s="75">
        <f t="shared" si="292"/>
        <v>0</v>
      </c>
    </row>
    <row r="159" spans="1:48" x14ac:dyDescent="0.25">
      <c r="A159" s="34"/>
      <c r="B159" s="76">
        <f>SUM(B152:B158)</f>
        <v>152860.6</v>
      </c>
      <c r="C159" s="76">
        <f t="shared" ref="C159:F159" si="293">SUM(C152:C158)</f>
        <v>94065</v>
      </c>
      <c r="D159" s="76">
        <f t="shared" si="293"/>
        <v>0</v>
      </c>
      <c r="E159" s="76">
        <f t="shared" si="293"/>
        <v>0</v>
      </c>
      <c r="F159" s="76">
        <f t="shared" si="293"/>
        <v>246925.60000000003</v>
      </c>
      <c r="H159" s="76">
        <f>SUM(H152:H158)</f>
        <v>186160.6</v>
      </c>
      <c r="I159" s="76">
        <f t="shared" ref="I159:L159" si="294">SUM(I152:I158)</f>
        <v>91700</v>
      </c>
      <c r="J159" s="76">
        <f t="shared" si="294"/>
        <v>0</v>
      </c>
      <c r="K159" s="76">
        <f t="shared" si="294"/>
        <v>0</v>
      </c>
      <c r="L159" s="76">
        <f t="shared" si="294"/>
        <v>277860.60000000003</v>
      </c>
      <c r="N159" s="76">
        <f>SUM(N152:N158)</f>
        <v>404827.45</v>
      </c>
      <c r="O159" s="76">
        <f t="shared" ref="O159:R159" si="295">SUM(O152:O158)</f>
        <v>231350</v>
      </c>
      <c r="P159" s="76">
        <f t="shared" si="295"/>
        <v>0</v>
      </c>
      <c r="Q159" s="76">
        <f t="shared" si="295"/>
        <v>0</v>
      </c>
      <c r="R159" s="76">
        <f t="shared" si="295"/>
        <v>636177.44999999995</v>
      </c>
      <c r="T159" s="76">
        <f t="shared" ref="T159:W159" si="296">SUM(T152:T158)</f>
        <v>103653</v>
      </c>
      <c r="U159" s="76">
        <f t="shared" si="296"/>
        <v>129815</v>
      </c>
      <c r="V159" s="76">
        <f t="shared" si="296"/>
        <v>0</v>
      </c>
      <c r="W159" s="76">
        <f t="shared" si="296"/>
        <v>0</v>
      </c>
      <c r="X159" s="76">
        <f t="shared" ref="X159" si="297">SUM(X152:X158)</f>
        <v>233468</v>
      </c>
      <c r="Y159" s="199"/>
      <c r="Z159" s="76">
        <f t="shared" ref="Z159:AD159" si="298">SUM(Z152:Z158)</f>
        <v>125035.20000000001</v>
      </c>
      <c r="AA159" s="76">
        <f t="shared" si="298"/>
        <v>145080</v>
      </c>
      <c r="AB159" s="76">
        <f t="shared" si="298"/>
        <v>0</v>
      </c>
      <c r="AC159" s="76">
        <f t="shared" si="298"/>
        <v>0</v>
      </c>
      <c r="AD159" s="76">
        <f t="shared" si="298"/>
        <v>270115.20000000001</v>
      </c>
      <c r="AE159" s="199"/>
      <c r="AF159" s="76">
        <f t="shared" ref="AF159:AJ159" si="299">SUM(AF152:AF158)</f>
        <v>145904</v>
      </c>
      <c r="AG159" s="76">
        <f t="shared" si="299"/>
        <v>180400</v>
      </c>
      <c r="AH159" s="76">
        <f t="shared" si="299"/>
        <v>0</v>
      </c>
      <c r="AI159" s="76">
        <f t="shared" si="299"/>
        <v>0</v>
      </c>
      <c r="AJ159" s="76">
        <f t="shared" si="299"/>
        <v>326304</v>
      </c>
      <c r="AL159" s="76">
        <f>SUM(AL152:AL158)</f>
        <v>0</v>
      </c>
      <c r="AM159" s="76">
        <f t="shared" ref="AM159:AO159" si="300">SUM(AM152:AM158)</f>
        <v>0</v>
      </c>
      <c r="AN159" s="76">
        <f t="shared" si="300"/>
        <v>0</v>
      </c>
      <c r="AO159" s="76">
        <f t="shared" si="300"/>
        <v>6500</v>
      </c>
      <c r="AP159" s="76">
        <f t="shared" ref="AP159" si="301">SUM(AP152:AP158)</f>
        <v>6500</v>
      </c>
      <c r="AR159" s="76">
        <f>SUM(AR152:AR158)</f>
        <v>1118440.8499999999</v>
      </c>
      <c r="AS159" s="76">
        <f t="shared" ref="AS159:AV159" si="302">SUM(AS152:AS158)</f>
        <v>872410</v>
      </c>
      <c r="AT159" s="76">
        <f t="shared" si="302"/>
        <v>0</v>
      </c>
      <c r="AU159" s="76">
        <f t="shared" si="302"/>
        <v>6500</v>
      </c>
      <c r="AV159" s="76">
        <f t="shared" si="302"/>
        <v>1997350.8499999999</v>
      </c>
    </row>
    <row r="160" spans="1:48" x14ac:dyDescent="0.25">
      <c r="B160" s="77"/>
      <c r="C160" s="77"/>
      <c r="D160" s="77"/>
      <c r="E160" s="77"/>
      <c r="F160" s="77"/>
      <c r="H160" s="77"/>
      <c r="I160" s="77"/>
      <c r="J160" s="77"/>
      <c r="K160" s="77"/>
      <c r="L160" s="77"/>
      <c r="N160" s="77"/>
      <c r="O160" s="77"/>
      <c r="P160" s="77"/>
      <c r="Q160" s="77"/>
      <c r="R160" s="77"/>
      <c r="T160" s="77"/>
      <c r="U160" s="77"/>
      <c r="V160" s="77"/>
      <c r="W160" s="77"/>
      <c r="X160" s="77"/>
      <c r="Y160" s="79"/>
      <c r="Z160" s="77"/>
      <c r="AA160" s="77"/>
      <c r="AB160" s="77"/>
      <c r="AC160" s="77"/>
      <c r="AD160" s="77"/>
      <c r="AE160" s="79"/>
      <c r="AF160" s="77"/>
      <c r="AG160" s="77"/>
      <c r="AH160" s="77"/>
      <c r="AI160" s="77"/>
      <c r="AJ160" s="77"/>
      <c r="AL160" s="77"/>
      <c r="AM160" s="77"/>
      <c r="AN160" s="77"/>
      <c r="AO160" s="77"/>
      <c r="AP160" s="77"/>
      <c r="AR160" s="77"/>
      <c r="AS160" s="77"/>
      <c r="AT160" s="77"/>
      <c r="AU160" s="77"/>
      <c r="AV160" s="77"/>
    </row>
    <row r="161" spans="1:48" x14ac:dyDescent="0.25">
      <c r="A161" s="28"/>
      <c r="B161" s="78" t="s">
        <v>157</v>
      </c>
      <c r="C161" s="78" t="s">
        <v>158</v>
      </c>
      <c r="D161" s="78" t="s">
        <v>159</v>
      </c>
      <c r="E161" s="78" t="str">
        <f>E151</f>
        <v>Other</v>
      </c>
      <c r="F161" s="78" t="str">
        <f>F151</f>
        <v>FY28- Mtn</v>
      </c>
      <c r="H161" s="78" t="s">
        <v>157</v>
      </c>
      <c r="I161" s="78" t="s">
        <v>158</v>
      </c>
      <c r="J161" s="78" t="s">
        <v>159</v>
      </c>
      <c r="K161" s="78" t="str">
        <f>K151</f>
        <v>Other</v>
      </c>
      <c r="L161" s="78" t="str">
        <f>L151</f>
        <v>FY28- Bon</v>
      </c>
      <c r="N161" s="78" t="s">
        <v>157</v>
      </c>
      <c r="O161" s="78" t="s">
        <v>158</v>
      </c>
      <c r="P161" s="78" t="s">
        <v>159</v>
      </c>
      <c r="Q161" s="78" t="str">
        <f>Q151</f>
        <v>Other</v>
      </c>
      <c r="R161" s="78" t="str">
        <f>R151</f>
        <v>FY28- East</v>
      </c>
      <c r="T161" s="78" t="s">
        <v>157</v>
      </c>
      <c r="U161" s="78" t="s">
        <v>158</v>
      </c>
      <c r="V161" s="78" t="s">
        <v>159</v>
      </c>
      <c r="W161" s="78" t="str">
        <f>W151</f>
        <v>Other</v>
      </c>
      <c r="X161" s="78" t="str">
        <f>X151</f>
        <v>FY28- Cactus</v>
      </c>
      <c r="Y161" s="201"/>
      <c r="Z161" s="78" t="s">
        <v>157</v>
      </c>
      <c r="AA161" s="78" t="s">
        <v>158</v>
      </c>
      <c r="AB161" s="78" t="s">
        <v>159</v>
      </c>
      <c r="AC161" s="78" t="str">
        <f>AC151</f>
        <v>Other</v>
      </c>
      <c r="AD161" s="78" t="str">
        <f>AD151</f>
        <v>FY28- Sahara</v>
      </c>
      <c r="AE161" s="201"/>
      <c r="AF161" s="78" t="s">
        <v>157</v>
      </c>
      <c r="AG161" s="78" t="s">
        <v>158</v>
      </c>
      <c r="AH161" s="78" t="s">
        <v>159</v>
      </c>
      <c r="AI161" s="78" t="str">
        <f>AI151</f>
        <v>Other</v>
      </c>
      <c r="AJ161" s="78" t="str">
        <f>AJ151</f>
        <v>FY27- VV</v>
      </c>
      <c r="AL161" s="78" t="s">
        <v>157</v>
      </c>
      <c r="AM161" s="78" t="s">
        <v>158</v>
      </c>
      <c r="AN161" s="78" t="s">
        <v>159</v>
      </c>
      <c r="AO161" s="78" t="str">
        <f>AO151</f>
        <v>Grant</v>
      </c>
      <c r="AP161" s="78" t="str">
        <f>AP151</f>
        <v>FY28 - Central</v>
      </c>
      <c r="AR161" s="78" t="s">
        <v>157</v>
      </c>
      <c r="AS161" s="78" t="s">
        <v>158</v>
      </c>
      <c r="AT161" s="78" t="s">
        <v>159</v>
      </c>
      <c r="AU161" s="78" t="str">
        <f>AU151</f>
        <v>Other</v>
      </c>
      <c r="AV161" s="78" t="str">
        <f>AV151</f>
        <v>FY28- Sys</v>
      </c>
    </row>
    <row r="162" spans="1:48" x14ac:dyDescent="0.25">
      <c r="A162" s="35" t="s">
        <v>109</v>
      </c>
      <c r="B162" s="75">
        <v>5000</v>
      </c>
      <c r="C162" s="75"/>
      <c r="D162" s="75"/>
      <c r="E162" s="75"/>
      <c r="F162" s="75">
        <f>SUM(B162:E162)</f>
        <v>5000</v>
      </c>
      <c r="H162" s="75">
        <v>5000</v>
      </c>
      <c r="I162" s="75"/>
      <c r="J162" s="75"/>
      <c r="K162" s="75"/>
      <c r="L162" s="75">
        <f>SUM(H162:K162)</f>
        <v>5000</v>
      </c>
      <c r="N162" s="75">
        <v>5000</v>
      </c>
      <c r="O162" s="75"/>
      <c r="P162" s="75"/>
      <c r="Q162" s="75"/>
      <c r="R162" s="75">
        <f>SUM(N162:Q162)</f>
        <v>5000</v>
      </c>
      <c r="T162" s="75">
        <v>0</v>
      </c>
      <c r="U162" s="75"/>
      <c r="V162" s="75"/>
      <c r="W162" s="75"/>
      <c r="X162" s="75">
        <f>SUM(T162:W162)</f>
        <v>0</v>
      </c>
      <c r="Y162" s="194"/>
      <c r="Z162" s="75">
        <v>0</v>
      </c>
      <c r="AA162" s="75"/>
      <c r="AB162" s="75"/>
      <c r="AC162" s="75"/>
      <c r="AD162" s="75">
        <f>SUM(Z162:AC162)</f>
        <v>0</v>
      </c>
      <c r="AE162" s="194"/>
      <c r="AF162" s="75">
        <v>0</v>
      </c>
      <c r="AG162" s="75"/>
      <c r="AH162" s="75"/>
      <c r="AI162" s="75"/>
      <c r="AJ162" s="75">
        <f>SUM(AF162:AI162)</f>
        <v>0</v>
      </c>
      <c r="AL162" s="75"/>
      <c r="AM162" s="75"/>
      <c r="AN162" s="75"/>
      <c r="AO162" s="75"/>
      <c r="AP162" s="75">
        <f>SUM(AL162:AO162)</f>
        <v>0</v>
      </c>
      <c r="AR162" s="75">
        <f>B162+H162+N162+T162+AL162+AF162+Z162</f>
        <v>15000</v>
      </c>
      <c r="AS162" s="75">
        <f t="shared" ref="AS162:AU170" si="303">C162+I162+O162+U162+AM162+AG162+AA162</f>
        <v>0</v>
      </c>
      <c r="AT162" s="75">
        <f t="shared" si="303"/>
        <v>0</v>
      </c>
      <c r="AU162" s="75">
        <f t="shared" si="303"/>
        <v>0</v>
      </c>
      <c r="AV162" s="75">
        <f>SUM(AR162:AU162)</f>
        <v>15000</v>
      </c>
    </row>
    <row r="163" spans="1:48" x14ac:dyDescent="0.25">
      <c r="A163" s="32" t="s">
        <v>112</v>
      </c>
      <c r="B163" s="63"/>
      <c r="C163" s="63"/>
      <c r="D163" s="63"/>
      <c r="E163" s="63"/>
      <c r="F163" s="75">
        <f t="shared" ref="F163:F170" si="304">SUM(B163:E163)</f>
        <v>0</v>
      </c>
      <c r="H163" s="63"/>
      <c r="I163" s="63"/>
      <c r="J163" s="63"/>
      <c r="K163" s="63"/>
      <c r="L163" s="75">
        <f t="shared" ref="L163:L170" si="305">SUM(H163:K163)</f>
        <v>0</v>
      </c>
      <c r="N163" s="89">
        <f>35000*1.03*1.03</f>
        <v>37131.5</v>
      </c>
      <c r="O163" s="63"/>
      <c r="P163" s="63"/>
      <c r="Q163" s="63"/>
      <c r="R163" s="75">
        <f t="shared" ref="R163:R170" si="306">SUM(N163:Q163)</f>
        <v>37131.5</v>
      </c>
      <c r="T163" s="63"/>
      <c r="U163" s="63"/>
      <c r="V163" s="63"/>
      <c r="W163" s="63"/>
      <c r="X163" s="75">
        <f t="shared" ref="X163:X170" si="307">SUM(T163:W163)</f>
        <v>0</v>
      </c>
      <c r="Y163" s="194"/>
      <c r="Z163" s="63"/>
      <c r="AA163" s="63"/>
      <c r="AB163" s="63"/>
      <c r="AC163" s="63"/>
      <c r="AD163" s="75">
        <f t="shared" ref="AD163:AD170" si="308">SUM(Z163:AC163)</f>
        <v>0</v>
      </c>
      <c r="AE163" s="194"/>
      <c r="AF163" s="63"/>
      <c r="AG163" s="63"/>
      <c r="AH163" s="63"/>
      <c r="AI163" s="63"/>
      <c r="AJ163" s="75">
        <f t="shared" ref="AJ163:AJ170" si="309">SUM(AF163:AI163)</f>
        <v>0</v>
      </c>
      <c r="AL163" s="63"/>
      <c r="AM163" s="63"/>
      <c r="AN163" s="63"/>
      <c r="AO163" s="63"/>
      <c r="AP163" s="75">
        <f t="shared" ref="AP163:AP170" si="310">SUM(AL163:AO163)</f>
        <v>0</v>
      </c>
      <c r="AR163" s="75">
        <f t="shared" ref="AR163:AR170" si="311">B163+H163+N163+T163+AL163+AF163+Z163</f>
        <v>37131.5</v>
      </c>
      <c r="AS163" s="75">
        <f t="shared" si="303"/>
        <v>0</v>
      </c>
      <c r="AT163" s="75">
        <f t="shared" si="303"/>
        <v>0</v>
      </c>
      <c r="AU163" s="75">
        <f t="shared" si="303"/>
        <v>0</v>
      </c>
      <c r="AV163" s="75">
        <f t="shared" ref="AV163:AV170" si="312">SUM(AR163:AU163)</f>
        <v>37131.5</v>
      </c>
    </row>
    <row r="164" spans="1:48" x14ac:dyDescent="0.25">
      <c r="A164" s="32" t="s">
        <v>116</v>
      </c>
      <c r="B164" s="63">
        <f>506.19*B17</f>
        <v>520363.32</v>
      </c>
      <c r="C164" s="63"/>
      <c r="D164" s="63"/>
      <c r="E164" s="63"/>
      <c r="F164" s="75">
        <f t="shared" si="304"/>
        <v>520363.32</v>
      </c>
      <c r="H164" s="63">
        <f>506.19*H17</f>
        <v>520363.32</v>
      </c>
      <c r="I164" s="63"/>
      <c r="J164" s="63"/>
      <c r="K164" s="63"/>
      <c r="L164" s="75">
        <f t="shared" si="305"/>
        <v>520363.32</v>
      </c>
      <c r="N164" s="63">
        <f>506.19*N17</f>
        <v>1254338.82</v>
      </c>
      <c r="O164" s="63"/>
      <c r="P164" s="63"/>
      <c r="Q164" s="63"/>
      <c r="R164" s="75">
        <f t="shared" si="306"/>
        <v>1254338.82</v>
      </c>
      <c r="T164" s="63">
        <f>506.19*T17</f>
        <v>270811.65000000002</v>
      </c>
      <c r="U164" s="63"/>
      <c r="V164" s="63"/>
      <c r="W164" s="63"/>
      <c r="X164" s="75">
        <f t="shared" si="307"/>
        <v>270811.65000000002</v>
      </c>
      <c r="Y164" s="194"/>
      <c r="Z164" s="63">
        <f>506.19*Z17</f>
        <v>310800.65999999997</v>
      </c>
      <c r="AA164" s="63"/>
      <c r="AB164" s="63"/>
      <c r="AC164" s="63"/>
      <c r="AD164" s="75">
        <f t="shared" si="308"/>
        <v>310800.65999999997</v>
      </c>
      <c r="AE164" s="194"/>
      <c r="AF164" s="63">
        <f>498.68*AF17</f>
        <v>388970.4</v>
      </c>
      <c r="AG164" s="63"/>
      <c r="AH164" s="63"/>
      <c r="AI164" s="63"/>
      <c r="AJ164" s="75">
        <f t="shared" si="309"/>
        <v>388970.4</v>
      </c>
      <c r="AL164" s="63"/>
      <c r="AM164" s="63"/>
      <c r="AN164" s="63"/>
      <c r="AO164" s="63"/>
      <c r="AP164" s="75">
        <f t="shared" si="310"/>
        <v>0</v>
      </c>
      <c r="AR164" s="75">
        <f t="shared" si="311"/>
        <v>3265648.17</v>
      </c>
      <c r="AS164" s="75">
        <f t="shared" si="303"/>
        <v>0</v>
      </c>
      <c r="AT164" s="75">
        <f t="shared" si="303"/>
        <v>0</v>
      </c>
      <c r="AU164" s="75">
        <f t="shared" si="303"/>
        <v>0</v>
      </c>
      <c r="AV164" s="75">
        <f t="shared" si="312"/>
        <v>3265648.17</v>
      </c>
    </row>
    <row r="165" spans="1:48" x14ac:dyDescent="0.25">
      <c r="A165" s="32" t="s">
        <v>117</v>
      </c>
      <c r="B165" s="61">
        <f>(3700*12)*1.03*1.03</f>
        <v>47103.96</v>
      </c>
      <c r="C165" s="63"/>
      <c r="D165" s="63"/>
      <c r="E165" s="63"/>
      <c r="F165" s="75">
        <f t="shared" si="304"/>
        <v>47103.96</v>
      </c>
      <c r="H165" s="61">
        <f>(3700*12)*1.03*1.03</f>
        <v>47103.96</v>
      </c>
      <c r="I165" s="63"/>
      <c r="J165" s="63"/>
      <c r="K165" s="63"/>
      <c r="L165" s="75">
        <f t="shared" si="305"/>
        <v>47103.96</v>
      </c>
      <c r="N165" s="61">
        <f>108000*1.03*1.03</f>
        <v>114577.2</v>
      </c>
      <c r="O165" s="63"/>
      <c r="P165" s="63"/>
      <c r="Q165" s="63"/>
      <c r="R165" s="75">
        <f t="shared" si="306"/>
        <v>114577.2</v>
      </c>
      <c r="T165" s="61">
        <f>(800*12)*1.02*1.03</f>
        <v>10085.76</v>
      </c>
      <c r="U165" s="63"/>
      <c r="V165" s="63"/>
      <c r="W165" s="63"/>
      <c r="X165" s="75">
        <f t="shared" si="307"/>
        <v>10085.76</v>
      </c>
      <c r="Y165" s="194"/>
      <c r="Z165" s="61">
        <f>(1000*12)*1.02*1.02</f>
        <v>12484.800000000001</v>
      </c>
      <c r="AA165" s="63"/>
      <c r="AB165" s="63"/>
      <c r="AC165" s="63"/>
      <c r="AD165" s="75">
        <f t="shared" si="308"/>
        <v>12484.800000000001</v>
      </c>
      <c r="AE165" s="194"/>
      <c r="AF165" s="61">
        <f>(800*12)*1.02</f>
        <v>9792</v>
      </c>
      <c r="AG165" s="63"/>
      <c r="AH165" s="63"/>
      <c r="AI165" s="63"/>
      <c r="AJ165" s="75">
        <f t="shared" si="309"/>
        <v>9792</v>
      </c>
      <c r="AL165" s="61">
        <f>10000*1.03*1.03</f>
        <v>10609</v>
      </c>
      <c r="AM165" s="63"/>
      <c r="AN165" s="63"/>
      <c r="AO165" s="63"/>
      <c r="AP165" s="75">
        <f t="shared" si="310"/>
        <v>10609</v>
      </c>
      <c r="AR165" s="75">
        <f t="shared" si="311"/>
        <v>251756.68</v>
      </c>
      <c r="AS165" s="75">
        <f t="shared" si="303"/>
        <v>0</v>
      </c>
      <c r="AT165" s="75">
        <f t="shared" si="303"/>
        <v>0</v>
      </c>
      <c r="AU165" s="75">
        <f t="shared" si="303"/>
        <v>0</v>
      </c>
      <c r="AV165" s="75">
        <f t="shared" si="312"/>
        <v>251756.68</v>
      </c>
    </row>
    <row r="166" spans="1:48" x14ac:dyDescent="0.25">
      <c r="A166" s="32" t="s">
        <v>118</v>
      </c>
      <c r="B166" s="63">
        <f>22500*1.03*1.03</f>
        <v>23870.25</v>
      </c>
      <c r="C166" s="63"/>
      <c r="D166" s="63"/>
      <c r="E166" s="63"/>
      <c r="F166" s="75">
        <f t="shared" si="304"/>
        <v>23870.25</v>
      </c>
      <c r="H166" s="63">
        <f>22500*1.03*1.03</f>
        <v>23870.25</v>
      </c>
      <c r="I166" s="63"/>
      <c r="J166" s="63"/>
      <c r="K166" s="63"/>
      <c r="L166" s="75">
        <f t="shared" si="305"/>
        <v>23870.25</v>
      </c>
      <c r="N166" s="63">
        <f>30000*1.03*1.01</f>
        <v>31209</v>
      </c>
      <c r="O166" s="63"/>
      <c r="P166" s="63"/>
      <c r="Q166" s="63"/>
      <c r="R166" s="75">
        <f t="shared" si="306"/>
        <v>31209</v>
      </c>
      <c r="T166" s="63">
        <v>10000</v>
      </c>
      <c r="U166" s="63"/>
      <c r="V166" s="63"/>
      <c r="W166" s="63"/>
      <c r="X166" s="75">
        <f t="shared" si="307"/>
        <v>10000</v>
      </c>
      <c r="Y166" s="194"/>
      <c r="Z166" s="63">
        <v>7500</v>
      </c>
      <c r="AA166" s="63"/>
      <c r="AB166" s="63"/>
      <c r="AC166" s="63"/>
      <c r="AD166" s="75">
        <f t="shared" si="308"/>
        <v>7500</v>
      </c>
      <c r="AE166" s="194"/>
      <c r="AF166" s="63">
        <v>0</v>
      </c>
      <c r="AG166" s="63"/>
      <c r="AH166" s="63"/>
      <c r="AI166" s="63"/>
      <c r="AJ166" s="75">
        <f t="shared" si="309"/>
        <v>0</v>
      </c>
      <c r="AL166" s="63"/>
      <c r="AM166" s="63"/>
      <c r="AN166" s="63"/>
      <c r="AO166" s="63"/>
      <c r="AP166" s="75">
        <f t="shared" si="310"/>
        <v>0</v>
      </c>
      <c r="AR166" s="75">
        <f t="shared" si="311"/>
        <v>96449.5</v>
      </c>
      <c r="AS166" s="75">
        <f t="shared" si="303"/>
        <v>0</v>
      </c>
      <c r="AT166" s="75">
        <f t="shared" si="303"/>
        <v>0</v>
      </c>
      <c r="AU166" s="75">
        <f t="shared" si="303"/>
        <v>0</v>
      </c>
      <c r="AV166" s="75">
        <f t="shared" si="312"/>
        <v>96449.5</v>
      </c>
    </row>
    <row r="167" spans="1:48" x14ac:dyDescent="0.25">
      <c r="A167" s="32" t="s">
        <v>119</v>
      </c>
      <c r="B167" s="63">
        <f>30000+5000+2500</f>
        <v>37500</v>
      </c>
      <c r="C167" s="63"/>
      <c r="D167" s="63"/>
      <c r="E167" s="63"/>
      <c r="F167" s="75">
        <f t="shared" si="304"/>
        <v>37500</v>
      </c>
      <c r="H167" s="63">
        <f>30000+5000+2500</f>
        <v>37500</v>
      </c>
      <c r="I167" s="63"/>
      <c r="J167" s="63"/>
      <c r="K167" s="63"/>
      <c r="L167" s="75">
        <f t="shared" si="305"/>
        <v>37500</v>
      </c>
      <c r="N167" s="63">
        <v>52500</v>
      </c>
      <c r="O167" s="63"/>
      <c r="P167" s="63"/>
      <c r="Q167" s="63"/>
      <c r="R167" s="75">
        <f t="shared" si="306"/>
        <v>52500</v>
      </c>
      <c r="T167" s="63">
        <f>25000</f>
        <v>25000</v>
      </c>
      <c r="U167" s="63"/>
      <c r="V167" s="63"/>
      <c r="W167" s="63"/>
      <c r="X167" s="75">
        <f t="shared" si="307"/>
        <v>25000</v>
      </c>
      <c r="Y167" s="194"/>
      <c r="Z167" s="63">
        <v>25000</v>
      </c>
      <c r="AA167" s="63"/>
      <c r="AB167" s="63"/>
      <c r="AC167" s="63"/>
      <c r="AD167" s="75">
        <f t="shared" si="308"/>
        <v>25000</v>
      </c>
      <c r="AE167" s="194"/>
      <c r="AF167" s="63">
        <v>7500</v>
      </c>
      <c r="AG167" s="63"/>
      <c r="AH167" s="63"/>
      <c r="AI167" s="63"/>
      <c r="AJ167" s="75">
        <f t="shared" si="309"/>
        <v>7500</v>
      </c>
      <c r="AL167" s="63"/>
      <c r="AM167" s="63"/>
      <c r="AN167" s="63"/>
      <c r="AO167" s="63"/>
      <c r="AP167" s="75">
        <f t="shared" si="310"/>
        <v>0</v>
      </c>
      <c r="AR167" s="75">
        <f t="shared" si="311"/>
        <v>185000</v>
      </c>
      <c r="AS167" s="75">
        <f t="shared" si="303"/>
        <v>0</v>
      </c>
      <c r="AT167" s="75">
        <f t="shared" si="303"/>
        <v>0</v>
      </c>
      <c r="AU167" s="75">
        <f t="shared" si="303"/>
        <v>0</v>
      </c>
      <c r="AV167" s="75">
        <f t="shared" si="312"/>
        <v>185000</v>
      </c>
    </row>
    <row r="168" spans="1:48" x14ac:dyDescent="0.25">
      <c r="A168" s="32" t="s">
        <v>120</v>
      </c>
      <c r="B168" s="63">
        <f>(46*B17)</f>
        <v>47288</v>
      </c>
      <c r="C168" s="63"/>
      <c r="D168" s="63"/>
      <c r="E168" s="63"/>
      <c r="F168" s="75">
        <f t="shared" si="304"/>
        <v>47288</v>
      </c>
      <c r="H168" s="63">
        <f>(46*H17)</f>
        <v>47288</v>
      </c>
      <c r="I168" s="63"/>
      <c r="J168" s="63"/>
      <c r="K168" s="63"/>
      <c r="L168" s="75">
        <f t="shared" si="305"/>
        <v>47288</v>
      </c>
      <c r="N168" s="63">
        <f>(46*N17)</f>
        <v>113988</v>
      </c>
      <c r="O168" s="63"/>
      <c r="P168" s="63"/>
      <c r="Q168" s="63"/>
      <c r="R168" s="75">
        <f t="shared" si="306"/>
        <v>113988</v>
      </c>
      <c r="T168" s="63">
        <f>(46*T17)</f>
        <v>24610</v>
      </c>
      <c r="U168" s="63"/>
      <c r="V168" s="63"/>
      <c r="W168" s="63"/>
      <c r="X168" s="75">
        <f t="shared" si="307"/>
        <v>24610</v>
      </c>
      <c r="Y168" s="194"/>
      <c r="Z168" s="63">
        <f>(46*Z17)</f>
        <v>28244</v>
      </c>
      <c r="AA168" s="63"/>
      <c r="AB168" s="63"/>
      <c r="AC168" s="63"/>
      <c r="AD168" s="75">
        <f t="shared" si="308"/>
        <v>28244</v>
      </c>
      <c r="AE168" s="194"/>
      <c r="AF168" s="63">
        <f>(45*AF17)</f>
        <v>35100</v>
      </c>
      <c r="AG168" s="63"/>
      <c r="AH168" s="63"/>
      <c r="AI168" s="63"/>
      <c r="AJ168" s="75">
        <f t="shared" si="309"/>
        <v>35100</v>
      </c>
      <c r="AL168" s="63"/>
      <c r="AM168" s="63"/>
      <c r="AN168" s="63"/>
      <c r="AO168" s="63"/>
      <c r="AP168" s="75">
        <f t="shared" si="310"/>
        <v>0</v>
      </c>
      <c r="AR168" s="75">
        <f t="shared" si="311"/>
        <v>296518</v>
      </c>
      <c r="AS168" s="75">
        <f t="shared" si="303"/>
        <v>0</v>
      </c>
      <c r="AT168" s="75">
        <f t="shared" si="303"/>
        <v>0</v>
      </c>
      <c r="AU168" s="75">
        <f t="shared" si="303"/>
        <v>0</v>
      </c>
      <c r="AV168" s="75">
        <f t="shared" si="312"/>
        <v>296518</v>
      </c>
    </row>
    <row r="169" spans="1:48" x14ac:dyDescent="0.25">
      <c r="A169" s="32" t="s">
        <v>121</v>
      </c>
      <c r="B169" s="63">
        <v>0</v>
      </c>
      <c r="C169" s="63"/>
      <c r="D169" s="63"/>
      <c r="E169" s="63"/>
      <c r="F169" s="75">
        <f t="shared" si="304"/>
        <v>0</v>
      </c>
      <c r="H169" s="63">
        <v>0</v>
      </c>
      <c r="I169" s="63"/>
      <c r="J169" s="63"/>
      <c r="K169" s="63"/>
      <c r="L169" s="75">
        <f t="shared" si="305"/>
        <v>0</v>
      </c>
      <c r="N169" s="63">
        <v>0</v>
      </c>
      <c r="O169" s="63"/>
      <c r="P169" s="63"/>
      <c r="Q169" s="63"/>
      <c r="R169" s="75">
        <f t="shared" si="306"/>
        <v>0</v>
      </c>
      <c r="T169" s="63">
        <v>0</v>
      </c>
      <c r="U169" s="63"/>
      <c r="V169" s="63"/>
      <c r="W169" s="63"/>
      <c r="X169" s="75">
        <f t="shared" si="307"/>
        <v>0</v>
      </c>
      <c r="Y169" s="194"/>
      <c r="Z169" s="63">
        <v>0</v>
      </c>
      <c r="AA169" s="63"/>
      <c r="AB169" s="63"/>
      <c r="AC169" s="63"/>
      <c r="AD169" s="75">
        <f t="shared" si="308"/>
        <v>0</v>
      </c>
      <c r="AE169" s="194"/>
      <c r="AF169" s="63">
        <v>0</v>
      </c>
      <c r="AG169" s="63"/>
      <c r="AH169" s="63"/>
      <c r="AI169" s="63"/>
      <c r="AJ169" s="75">
        <f t="shared" si="309"/>
        <v>0</v>
      </c>
      <c r="AL169" s="63"/>
      <c r="AM169" s="63"/>
      <c r="AN169" s="63"/>
      <c r="AO169" s="63"/>
      <c r="AP169" s="75">
        <f t="shared" si="310"/>
        <v>0</v>
      </c>
      <c r="AR169" s="75">
        <f t="shared" si="311"/>
        <v>0</v>
      </c>
      <c r="AS169" s="75">
        <f t="shared" si="303"/>
        <v>0</v>
      </c>
      <c r="AT169" s="75">
        <f t="shared" si="303"/>
        <v>0</v>
      </c>
      <c r="AU169" s="75">
        <f t="shared" si="303"/>
        <v>0</v>
      </c>
      <c r="AV169" s="75">
        <f t="shared" si="312"/>
        <v>0</v>
      </c>
    </row>
    <row r="170" spans="1:48" x14ac:dyDescent="0.25">
      <c r="A170" s="33" t="s">
        <v>122</v>
      </c>
      <c r="B170" s="64">
        <f>B68*0.0125</f>
        <v>124388</v>
      </c>
      <c r="C170" s="64"/>
      <c r="D170" s="64"/>
      <c r="E170" s="64"/>
      <c r="F170" s="75">
        <f t="shared" si="304"/>
        <v>124388</v>
      </c>
      <c r="H170" s="64">
        <f>H68*0.0125</f>
        <v>124388</v>
      </c>
      <c r="I170" s="64"/>
      <c r="J170" s="64"/>
      <c r="K170" s="64"/>
      <c r="L170" s="75">
        <f t="shared" si="305"/>
        <v>124388</v>
      </c>
      <c r="N170" s="64">
        <f>N68*0.0125</f>
        <v>299838</v>
      </c>
      <c r="O170" s="64"/>
      <c r="P170" s="64"/>
      <c r="Q170" s="64"/>
      <c r="R170" s="75">
        <f t="shared" si="306"/>
        <v>299838</v>
      </c>
      <c r="T170" s="64">
        <f>T68*0.0125</f>
        <v>64735</v>
      </c>
      <c r="U170" s="64"/>
      <c r="V170" s="64"/>
      <c r="W170" s="64"/>
      <c r="X170" s="75">
        <f t="shared" si="307"/>
        <v>64735</v>
      </c>
      <c r="Y170" s="194"/>
      <c r="Z170" s="64">
        <f>Z68*0.0125</f>
        <v>74294</v>
      </c>
      <c r="AA170" s="64"/>
      <c r="AB170" s="64"/>
      <c r="AC170" s="64"/>
      <c r="AD170" s="75">
        <f t="shared" si="308"/>
        <v>74294</v>
      </c>
      <c r="AE170" s="194"/>
      <c r="AF170" s="64">
        <f>AF68*0.0125</f>
        <v>94380</v>
      </c>
      <c r="AG170" s="64"/>
      <c r="AH170" s="64"/>
      <c r="AI170" s="64"/>
      <c r="AJ170" s="75">
        <f t="shared" si="309"/>
        <v>94380</v>
      </c>
      <c r="AL170" s="64"/>
      <c r="AM170" s="64"/>
      <c r="AN170" s="64"/>
      <c r="AO170" s="64"/>
      <c r="AP170" s="75">
        <f t="shared" si="310"/>
        <v>0</v>
      </c>
      <c r="AR170" s="75">
        <f t="shared" si="311"/>
        <v>782023</v>
      </c>
      <c r="AS170" s="75">
        <f t="shared" si="303"/>
        <v>0</v>
      </c>
      <c r="AT170" s="75">
        <f t="shared" si="303"/>
        <v>0</v>
      </c>
      <c r="AU170" s="75">
        <f t="shared" si="303"/>
        <v>0</v>
      </c>
      <c r="AV170" s="75">
        <f t="shared" si="312"/>
        <v>782023</v>
      </c>
    </row>
    <row r="171" spans="1:48" x14ac:dyDescent="0.25">
      <c r="A171" s="34"/>
      <c r="B171" s="76">
        <f>SUM(B162:B170)</f>
        <v>805513.53</v>
      </c>
      <c r="C171" s="76">
        <f t="shared" ref="C171:F171" si="313">SUM(C162:C170)</f>
        <v>0</v>
      </c>
      <c r="D171" s="76">
        <f t="shared" si="313"/>
        <v>0</v>
      </c>
      <c r="E171" s="76">
        <f t="shared" si="313"/>
        <v>0</v>
      </c>
      <c r="F171" s="76">
        <f t="shared" si="313"/>
        <v>805513.53</v>
      </c>
      <c r="H171" s="76">
        <f>SUM(H162:H170)</f>
        <v>805513.53</v>
      </c>
      <c r="I171" s="76">
        <f t="shared" ref="I171:L171" si="314">SUM(I162:I170)</f>
        <v>0</v>
      </c>
      <c r="J171" s="76">
        <f t="shared" si="314"/>
        <v>0</v>
      </c>
      <c r="K171" s="76">
        <f t="shared" si="314"/>
        <v>0</v>
      </c>
      <c r="L171" s="76">
        <f t="shared" si="314"/>
        <v>805513.53</v>
      </c>
      <c r="N171" s="76">
        <f>SUM(N162:N170)</f>
        <v>1908582.52</v>
      </c>
      <c r="O171" s="76">
        <f t="shared" ref="O171:R171" si="315">SUM(O162:O170)</f>
        <v>0</v>
      </c>
      <c r="P171" s="76">
        <f t="shared" si="315"/>
        <v>0</v>
      </c>
      <c r="Q171" s="76">
        <f t="shared" si="315"/>
        <v>0</v>
      </c>
      <c r="R171" s="76">
        <f t="shared" si="315"/>
        <v>1908582.52</v>
      </c>
      <c r="T171" s="76">
        <f>SUM(T162:T170)</f>
        <v>405242.41000000003</v>
      </c>
      <c r="U171" s="76">
        <f t="shared" ref="U171:X171" si="316">SUM(U162:U170)</f>
        <v>0</v>
      </c>
      <c r="V171" s="76">
        <f t="shared" si="316"/>
        <v>0</v>
      </c>
      <c r="W171" s="76">
        <f t="shared" si="316"/>
        <v>0</v>
      </c>
      <c r="X171" s="76">
        <f t="shared" si="316"/>
        <v>405242.41000000003</v>
      </c>
      <c r="Y171" s="199"/>
      <c r="Z171" s="76">
        <f>SUM(Z162:Z170)</f>
        <v>458323.45999999996</v>
      </c>
      <c r="AA171" s="76">
        <f t="shared" ref="AA171:AD171" si="317">SUM(AA162:AA170)</f>
        <v>0</v>
      </c>
      <c r="AB171" s="76">
        <f t="shared" si="317"/>
        <v>0</v>
      </c>
      <c r="AC171" s="76">
        <f t="shared" si="317"/>
        <v>0</v>
      </c>
      <c r="AD171" s="76">
        <f t="shared" si="317"/>
        <v>458323.45999999996</v>
      </c>
      <c r="AE171" s="199"/>
      <c r="AF171" s="76">
        <f>SUM(AF162:AF170)</f>
        <v>535742.4</v>
      </c>
      <c r="AG171" s="76">
        <f t="shared" ref="AG171:AJ171" si="318">SUM(AG162:AG170)</f>
        <v>0</v>
      </c>
      <c r="AH171" s="76">
        <f t="shared" si="318"/>
        <v>0</v>
      </c>
      <c r="AI171" s="76">
        <f t="shared" si="318"/>
        <v>0</v>
      </c>
      <c r="AJ171" s="76">
        <f t="shared" si="318"/>
        <v>535742.4</v>
      </c>
      <c r="AL171" s="76">
        <f>SUM(AL162:AL170)</f>
        <v>10609</v>
      </c>
      <c r="AM171" s="76">
        <f t="shared" ref="AM171:AO171" si="319">SUM(AM162:AM170)</f>
        <v>0</v>
      </c>
      <c r="AN171" s="76">
        <f t="shared" si="319"/>
        <v>0</v>
      </c>
      <c r="AO171" s="76">
        <f t="shared" si="319"/>
        <v>0</v>
      </c>
      <c r="AP171" s="76">
        <f t="shared" ref="AP171" si="320">SUM(AP162:AP170)</f>
        <v>10609</v>
      </c>
      <c r="AR171" s="76">
        <f>SUM(AR162:AR170)</f>
        <v>4929526.8499999996</v>
      </c>
      <c r="AS171" s="76">
        <f t="shared" ref="AS171:AV171" si="321">SUM(AS162:AS170)</f>
        <v>0</v>
      </c>
      <c r="AT171" s="76">
        <f t="shared" si="321"/>
        <v>0</v>
      </c>
      <c r="AU171" s="76">
        <f t="shared" si="321"/>
        <v>0</v>
      </c>
      <c r="AV171" s="76">
        <f t="shared" si="321"/>
        <v>4929526.8499999996</v>
      </c>
    </row>
    <row r="172" spans="1:48" x14ac:dyDescent="0.25">
      <c r="B172" s="77"/>
      <c r="C172" s="77"/>
      <c r="D172" s="77"/>
      <c r="E172" s="77"/>
      <c r="F172" s="77"/>
      <c r="H172" s="77"/>
      <c r="I172" s="77"/>
      <c r="J172" s="77"/>
      <c r="K172" s="77"/>
      <c r="L172" s="77"/>
      <c r="N172" s="77"/>
      <c r="O172" s="77"/>
      <c r="P172" s="77"/>
      <c r="Q172" s="77"/>
      <c r="R172" s="77"/>
      <c r="T172" s="77"/>
      <c r="U172" s="77"/>
      <c r="V172" s="77"/>
      <c r="W172" s="77"/>
      <c r="X172" s="77"/>
      <c r="Y172" s="79"/>
      <c r="Z172" s="77"/>
      <c r="AA172" s="77"/>
      <c r="AB172" s="77"/>
      <c r="AC172" s="77"/>
      <c r="AD172" s="77"/>
      <c r="AE172" s="79"/>
      <c r="AF172" s="77"/>
      <c r="AG172" s="77"/>
      <c r="AH172" s="77"/>
      <c r="AI172" s="77"/>
      <c r="AJ172" s="77"/>
      <c r="AL172" s="77"/>
      <c r="AM172" s="77"/>
      <c r="AN172" s="77"/>
      <c r="AO172" s="77"/>
      <c r="AP172" s="77"/>
      <c r="AR172" s="77"/>
      <c r="AS172" s="77"/>
      <c r="AT172" s="77"/>
      <c r="AU172" s="77"/>
      <c r="AV172" s="77"/>
    </row>
    <row r="173" spans="1:48" x14ac:dyDescent="0.25">
      <c r="A173" s="28"/>
      <c r="B173" s="78" t="s">
        <v>157</v>
      </c>
      <c r="C173" s="78" t="s">
        <v>158</v>
      </c>
      <c r="D173" s="78" t="s">
        <v>159</v>
      </c>
      <c r="E173" s="78" t="str">
        <f>E161</f>
        <v>Other</v>
      </c>
      <c r="F173" s="78" t="str">
        <f>F161</f>
        <v>FY28- Mtn</v>
      </c>
      <c r="H173" s="78" t="s">
        <v>157</v>
      </c>
      <c r="I173" s="78" t="s">
        <v>158</v>
      </c>
      <c r="J173" s="78" t="s">
        <v>159</v>
      </c>
      <c r="K173" s="78" t="str">
        <f>K161</f>
        <v>Other</v>
      </c>
      <c r="L173" s="78" t="str">
        <f>L161</f>
        <v>FY28- Bon</v>
      </c>
      <c r="N173" s="78" t="s">
        <v>157</v>
      </c>
      <c r="O173" s="78" t="s">
        <v>158</v>
      </c>
      <c r="P173" s="78" t="s">
        <v>159</v>
      </c>
      <c r="Q173" s="78" t="str">
        <f>Q161</f>
        <v>Other</v>
      </c>
      <c r="R173" s="78" t="str">
        <f>R161</f>
        <v>FY28- East</v>
      </c>
      <c r="T173" s="78" t="s">
        <v>157</v>
      </c>
      <c r="U173" s="78" t="s">
        <v>158</v>
      </c>
      <c r="V173" s="78" t="s">
        <v>159</v>
      </c>
      <c r="W173" s="78" t="str">
        <f>W161</f>
        <v>Other</v>
      </c>
      <c r="X173" s="78" t="str">
        <f>X161</f>
        <v>FY28- Cactus</v>
      </c>
      <c r="Y173" s="201"/>
      <c r="Z173" s="78" t="s">
        <v>157</v>
      </c>
      <c r="AA173" s="78" t="s">
        <v>158</v>
      </c>
      <c r="AB173" s="78" t="s">
        <v>159</v>
      </c>
      <c r="AC173" s="78" t="str">
        <f>AC161</f>
        <v>Other</v>
      </c>
      <c r="AD173" s="78" t="str">
        <f>AD161</f>
        <v>FY28- Sahara</v>
      </c>
      <c r="AE173" s="201"/>
      <c r="AF173" s="78" t="s">
        <v>157</v>
      </c>
      <c r="AG173" s="78" t="s">
        <v>158</v>
      </c>
      <c r="AH173" s="78" t="s">
        <v>159</v>
      </c>
      <c r="AI173" s="78" t="str">
        <f>AI161</f>
        <v>Other</v>
      </c>
      <c r="AJ173" s="78" t="str">
        <f>AJ161</f>
        <v>FY27- VV</v>
      </c>
      <c r="AL173" s="78" t="s">
        <v>157</v>
      </c>
      <c r="AM173" s="78" t="s">
        <v>158</v>
      </c>
      <c r="AN173" s="78" t="s">
        <v>159</v>
      </c>
      <c r="AO173" s="78" t="str">
        <f>AO161</f>
        <v>Grant</v>
      </c>
      <c r="AP173" s="78" t="str">
        <f>AP161</f>
        <v>FY28 - Central</v>
      </c>
      <c r="AR173" s="78" t="s">
        <v>157</v>
      </c>
      <c r="AS173" s="78" t="s">
        <v>158</v>
      </c>
      <c r="AT173" s="78" t="s">
        <v>159</v>
      </c>
      <c r="AU173" s="78" t="str">
        <f>AU161</f>
        <v>Other</v>
      </c>
      <c r="AV173" s="78" t="str">
        <f>AV161</f>
        <v>FY28- Sys</v>
      </c>
    </row>
    <row r="174" spans="1:48" x14ac:dyDescent="0.25">
      <c r="A174" s="35" t="s">
        <v>123</v>
      </c>
      <c r="B174" s="75">
        <f>((400*12)+7800)*1.02*1.01</f>
        <v>12980.52</v>
      </c>
      <c r="C174" s="75"/>
      <c r="D174" s="75"/>
      <c r="E174" s="75"/>
      <c r="F174" s="75">
        <f>SUM(B174:E174)</f>
        <v>12980.52</v>
      </c>
      <c r="H174" s="75">
        <f>((400*12)+7800)*1.01*1.02</f>
        <v>12980.52</v>
      </c>
      <c r="I174" s="75"/>
      <c r="J174" s="75"/>
      <c r="K174" s="75"/>
      <c r="L174" s="75">
        <f>SUM(H174:K174)</f>
        <v>12980.52</v>
      </c>
      <c r="N174" s="75">
        <f>(9600+17400)*1.02*1.02</f>
        <v>28090.799999999999</v>
      </c>
      <c r="O174" s="75"/>
      <c r="P174" s="75"/>
      <c r="Q174" s="75"/>
      <c r="R174" s="75">
        <f>SUM(N174:Q174)</f>
        <v>28090.799999999999</v>
      </c>
      <c r="T174" s="60">
        <f>((1060*12)+(60*12))*1.03*1.02</f>
        <v>14120.064</v>
      </c>
      <c r="U174" s="75"/>
      <c r="V174" s="75"/>
      <c r="W174" s="75"/>
      <c r="X174" s="75">
        <f>SUM(T174:W174)</f>
        <v>14120.064</v>
      </c>
      <c r="Y174" s="194"/>
      <c r="Z174" s="60">
        <f>((1060*12)+(60*12))*1.03*1.03</f>
        <v>14258.496000000001</v>
      </c>
      <c r="AA174" s="75"/>
      <c r="AB174" s="75"/>
      <c r="AC174" s="75"/>
      <c r="AD174" s="75">
        <f>SUM(Z174:AC174)</f>
        <v>14258.496000000001</v>
      </c>
      <c r="AE174" s="194"/>
      <c r="AF174" s="60">
        <f>((1060*12)+(60*12))*1.03</f>
        <v>13843.2</v>
      </c>
      <c r="AG174" s="75"/>
      <c r="AH174" s="75"/>
      <c r="AI174" s="75"/>
      <c r="AJ174" s="75">
        <f>SUM(AF174:AI174)</f>
        <v>13843.2</v>
      </c>
      <c r="AL174" s="60"/>
      <c r="AM174" s="60"/>
      <c r="AN174" s="60"/>
      <c r="AO174" s="60"/>
      <c r="AP174" s="75">
        <f>SUM(AL174:AO174)</f>
        <v>0</v>
      </c>
      <c r="AR174" s="60">
        <f>B174+H174+N174+T174+AL174+AF174+Z174</f>
        <v>96273.599999999991</v>
      </c>
      <c r="AS174" s="60">
        <f t="shared" ref="AS174:AU189" si="322">C174+I174+O174+U174+AM174+AG174+AA174</f>
        <v>0</v>
      </c>
      <c r="AT174" s="60">
        <f t="shared" si="322"/>
        <v>0</v>
      </c>
      <c r="AU174" s="60">
        <f t="shared" si="322"/>
        <v>0</v>
      </c>
      <c r="AV174" s="75">
        <f>SUM(AR174:AU174)</f>
        <v>96273.599999999991</v>
      </c>
    </row>
    <row r="175" spans="1:48" x14ac:dyDescent="0.25">
      <c r="A175" s="32" t="s">
        <v>124</v>
      </c>
      <c r="B175" s="75">
        <f>1000+200+200</f>
        <v>1400</v>
      </c>
      <c r="C175" s="63"/>
      <c r="D175" s="63"/>
      <c r="E175" s="63"/>
      <c r="F175" s="75">
        <f t="shared" ref="F175:F193" si="323">SUM(B175:E175)</f>
        <v>1400</v>
      </c>
      <c r="H175" s="75">
        <f>1000+200+200</f>
        <v>1400</v>
      </c>
      <c r="I175" s="63"/>
      <c r="J175" s="63"/>
      <c r="K175" s="63"/>
      <c r="L175" s="75">
        <f t="shared" ref="L175:L193" si="324">SUM(H175:K175)</f>
        <v>1400</v>
      </c>
      <c r="N175" s="75">
        <f>2000+200+200</f>
        <v>2400</v>
      </c>
      <c r="O175" s="63"/>
      <c r="P175" s="63"/>
      <c r="Q175" s="63"/>
      <c r="R175" s="75">
        <f t="shared" ref="R175:R193" si="325">SUM(N175:Q175)</f>
        <v>2400</v>
      </c>
      <c r="T175" s="60">
        <f>500+150+150</f>
        <v>800</v>
      </c>
      <c r="U175" s="63"/>
      <c r="V175" s="63"/>
      <c r="W175" s="63"/>
      <c r="X175" s="75">
        <f t="shared" ref="X175:X193" si="326">SUM(T175:W175)</f>
        <v>800</v>
      </c>
      <c r="Y175" s="194"/>
      <c r="Z175" s="60">
        <f>500+150+150</f>
        <v>800</v>
      </c>
      <c r="AA175" s="63"/>
      <c r="AB175" s="63"/>
      <c r="AC175" s="63"/>
      <c r="AD175" s="75">
        <f t="shared" ref="AD175:AD193" si="327">SUM(Z175:AC175)</f>
        <v>800</v>
      </c>
      <c r="AE175" s="194"/>
      <c r="AF175" s="60">
        <f>500+150</f>
        <v>650</v>
      </c>
      <c r="AG175" s="63"/>
      <c r="AH175" s="63"/>
      <c r="AI175" s="63"/>
      <c r="AJ175" s="75">
        <f t="shared" ref="AJ175:AJ193" si="328">SUM(AF175:AI175)</f>
        <v>650</v>
      </c>
      <c r="AL175" s="60"/>
      <c r="AM175" s="61"/>
      <c r="AN175" s="61"/>
      <c r="AO175" s="61"/>
      <c r="AP175" s="75">
        <f t="shared" ref="AP175:AP193" si="329">SUM(AL175:AO175)</f>
        <v>0</v>
      </c>
      <c r="AR175" s="60">
        <f t="shared" ref="AR175:AU193" si="330">B175+H175+N175+T175+AL175+AF175+Z175</f>
        <v>7450</v>
      </c>
      <c r="AS175" s="60">
        <f t="shared" si="322"/>
        <v>0</v>
      </c>
      <c r="AT175" s="60">
        <f t="shared" si="322"/>
        <v>0</v>
      </c>
      <c r="AU175" s="60">
        <f t="shared" si="322"/>
        <v>0</v>
      </c>
      <c r="AV175" s="75">
        <f t="shared" ref="AV175:AV193" si="331">SUM(AR175:AU175)</f>
        <v>7450</v>
      </c>
    </row>
    <row r="176" spans="1:48" x14ac:dyDescent="0.25">
      <c r="A176" s="32" t="s">
        <v>125</v>
      </c>
      <c r="B176" s="60">
        <f>6500+250+250</f>
        <v>7000</v>
      </c>
      <c r="C176" s="63"/>
      <c r="D176" s="63"/>
      <c r="E176" s="63"/>
      <c r="F176" s="75">
        <f t="shared" si="323"/>
        <v>7000</v>
      </c>
      <c r="H176" s="60">
        <f>6500+250+250</f>
        <v>7000</v>
      </c>
      <c r="I176" s="63"/>
      <c r="J176" s="63"/>
      <c r="K176" s="63"/>
      <c r="L176" s="75">
        <f t="shared" si="324"/>
        <v>7000</v>
      </c>
      <c r="N176" s="60">
        <f>6500+500+500</f>
        <v>7500</v>
      </c>
      <c r="O176" s="63"/>
      <c r="P176" s="63"/>
      <c r="Q176" s="63"/>
      <c r="R176" s="75">
        <f t="shared" si="325"/>
        <v>7500</v>
      </c>
      <c r="T176" s="60">
        <f>6500+500+500</f>
        <v>7500</v>
      </c>
      <c r="U176" s="63"/>
      <c r="V176" s="63"/>
      <c r="W176" s="63"/>
      <c r="X176" s="75">
        <f t="shared" si="326"/>
        <v>7500</v>
      </c>
      <c r="Y176" s="194"/>
      <c r="Z176" s="60">
        <f>6500+500+500</f>
        <v>7500</v>
      </c>
      <c r="AA176" s="63"/>
      <c r="AB176" s="63"/>
      <c r="AC176" s="63"/>
      <c r="AD176" s="75">
        <f t="shared" si="327"/>
        <v>7500</v>
      </c>
      <c r="AE176" s="194"/>
      <c r="AF176" s="60">
        <f>6500+500</f>
        <v>7000</v>
      </c>
      <c r="AG176" s="63"/>
      <c r="AH176" s="63"/>
      <c r="AI176" s="63"/>
      <c r="AJ176" s="75">
        <f t="shared" si="328"/>
        <v>7000</v>
      </c>
      <c r="AL176" s="60"/>
      <c r="AM176" s="61"/>
      <c r="AN176" s="61"/>
      <c r="AO176" s="61"/>
      <c r="AP176" s="75">
        <f t="shared" si="329"/>
        <v>0</v>
      </c>
      <c r="AR176" s="60">
        <f t="shared" si="330"/>
        <v>43500</v>
      </c>
      <c r="AS176" s="60">
        <f t="shared" si="322"/>
        <v>0</v>
      </c>
      <c r="AT176" s="60">
        <f t="shared" si="322"/>
        <v>0</v>
      </c>
      <c r="AU176" s="60">
        <f t="shared" si="322"/>
        <v>0</v>
      </c>
      <c r="AV176" s="75">
        <f t="shared" si="331"/>
        <v>43500</v>
      </c>
    </row>
    <row r="177" spans="1:48" x14ac:dyDescent="0.25">
      <c r="A177" s="32" t="s">
        <v>126</v>
      </c>
      <c r="B177" s="60">
        <f>39000+500+500</f>
        <v>40000</v>
      </c>
      <c r="C177" s="63"/>
      <c r="D177" s="63"/>
      <c r="E177" s="63"/>
      <c r="F177" s="75">
        <f t="shared" si="323"/>
        <v>40000</v>
      </c>
      <c r="H177" s="60">
        <f>39000+500+500</f>
        <v>40000</v>
      </c>
      <c r="I177" s="63"/>
      <c r="J177" s="63"/>
      <c r="K177" s="63"/>
      <c r="L177" s="75">
        <f t="shared" si="324"/>
        <v>40000</v>
      </c>
      <c r="N177" s="60">
        <f>100000+3000+2000</f>
        <v>105000</v>
      </c>
      <c r="O177" s="63"/>
      <c r="P177" s="63"/>
      <c r="Q177" s="63"/>
      <c r="R177" s="75">
        <f t="shared" si="325"/>
        <v>105000</v>
      </c>
      <c r="T177" s="60">
        <f>17500+2500+1000</f>
        <v>21000</v>
      </c>
      <c r="U177" s="63"/>
      <c r="V177" s="63"/>
      <c r="W177" s="63"/>
      <c r="X177" s="75">
        <f t="shared" si="326"/>
        <v>21000</v>
      </c>
      <c r="Y177" s="194"/>
      <c r="Z177" s="60">
        <f>17500+2500+2500</f>
        <v>22500</v>
      </c>
      <c r="AA177" s="63"/>
      <c r="AB177" s="63"/>
      <c r="AC177" s="63"/>
      <c r="AD177" s="75">
        <f t="shared" si="327"/>
        <v>22500</v>
      </c>
      <c r="AE177" s="194"/>
      <c r="AF177" s="60">
        <v>40000</v>
      </c>
      <c r="AG177" s="63"/>
      <c r="AH177" s="63"/>
      <c r="AI177" s="63"/>
      <c r="AJ177" s="75">
        <f t="shared" si="328"/>
        <v>40000</v>
      </c>
      <c r="AL177" s="60"/>
      <c r="AM177" s="61"/>
      <c r="AN177" s="61"/>
      <c r="AO177" s="61"/>
      <c r="AP177" s="75">
        <f t="shared" si="329"/>
        <v>0</v>
      </c>
      <c r="AR177" s="60">
        <f t="shared" si="330"/>
        <v>268500</v>
      </c>
      <c r="AS177" s="60">
        <f t="shared" si="322"/>
        <v>0</v>
      </c>
      <c r="AT177" s="60">
        <f t="shared" si="322"/>
        <v>0</v>
      </c>
      <c r="AU177" s="60">
        <f t="shared" si="322"/>
        <v>0</v>
      </c>
      <c r="AV177" s="75">
        <f t="shared" si="331"/>
        <v>268500</v>
      </c>
    </row>
    <row r="178" spans="1:48" x14ac:dyDescent="0.25">
      <c r="A178" s="32" t="s">
        <v>127</v>
      </c>
      <c r="B178" s="60">
        <f>((2+2.5+0.4+1.95)*B17)*1.02*1.02</f>
        <v>7326.2887200000005</v>
      </c>
      <c r="C178" s="63"/>
      <c r="D178" s="63"/>
      <c r="E178" s="63"/>
      <c r="F178" s="75">
        <f t="shared" si="323"/>
        <v>7326.2887200000005</v>
      </c>
      <c r="H178" s="60">
        <f>((2+2.5+0.4+1.95)*H17)*1.01*1.02</f>
        <v>7254.4623599999995</v>
      </c>
      <c r="I178" s="63"/>
      <c r="J178" s="63"/>
      <c r="K178" s="63"/>
      <c r="L178" s="75">
        <f t="shared" si="324"/>
        <v>7254.4623599999995</v>
      </c>
      <c r="N178" s="60">
        <f>((2+2.5+0.4+1.95)*N17)*1.02*1.02</f>
        <v>17660.061720000005</v>
      </c>
      <c r="O178" s="63"/>
      <c r="P178" s="63"/>
      <c r="Q178" s="63"/>
      <c r="R178" s="75">
        <f t="shared" si="325"/>
        <v>17660.061720000005</v>
      </c>
      <c r="T178" s="60">
        <f>((2+2.5+0.4+1.95)*T17)*1.03*1.03</f>
        <v>3887.9332750000008</v>
      </c>
      <c r="U178" s="63"/>
      <c r="V178" s="63"/>
      <c r="W178" s="63"/>
      <c r="X178" s="75">
        <f t="shared" si="326"/>
        <v>3887.9332750000008</v>
      </c>
      <c r="Y178" s="194"/>
      <c r="Z178" s="60">
        <f>((2+2.5+0.4+1.95)*Z17)*1.03*1.02</f>
        <v>4418.7185400000008</v>
      </c>
      <c r="AA178" s="63"/>
      <c r="AB178" s="63"/>
      <c r="AC178" s="63"/>
      <c r="AD178" s="75">
        <f t="shared" si="327"/>
        <v>4418.7185400000008</v>
      </c>
      <c r="AE178" s="194"/>
      <c r="AF178" s="60">
        <f>((2+2.5+0.4+1.95)*AF17)*1.03</f>
        <v>5503.29</v>
      </c>
      <c r="AG178" s="63"/>
      <c r="AH178" s="63"/>
      <c r="AI178" s="63"/>
      <c r="AJ178" s="75">
        <f t="shared" si="328"/>
        <v>5503.29</v>
      </c>
      <c r="AL178" s="60"/>
      <c r="AM178" s="61"/>
      <c r="AN178" s="61"/>
      <c r="AO178" s="61"/>
      <c r="AP178" s="75">
        <f t="shared" si="329"/>
        <v>0</v>
      </c>
      <c r="AR178" s="60">
        <f t="shared" si="330"/>
        <v>46050.754615000013</v>
      </c>
      <c r="AS178" s="60">
        <f t="shared" si="322"/>
        <v>0</v>
      </c>
      <c r="AT178" s="60">
        <f t="shared" si="322"/>
        <v>0</v>
      </c>
      <c r="AU178" s="60">
        <f t="shared" si="322"/>
        <v>0</v>
      </c>
      <c r="AV178" s="75">
        <f t="shared" si="331"/>
        <v>46050.754615000013</v>
      </c>
    </row>
    <row r="179" spans="1:48" x14ac:dyDescent="0.25">
      <c r="A179" s="32" t="s">
        <v>128</v>
      </c>
      <c r="B179" s="60">
        <f>174000*1.1*1.1</f>
        <v>210540.00000000006</v>
      </c>
      <c r="C179" s="63"/>
      <c r="D179" s="63"/>
      <c r="E179" s="63"/>
      <c r="F179" s="75">
        <f t="shared" si="323"/>
        <v>210540.00000000006</v>
      </c>
      <c r="H179" s="60">
        <f>174000*1.1*1.1</f>
        <v>210540.00000000006</v>
      </c>
      <c r="I179" s="63"/>
      <c r="J179" s="63"/>
      <c r="K179" s="63"/>
      <c r="L179" s="75">
        <f t="shared" si="324"/>
        <v>210540.00000000006</v>
      </c>
      <c r="N179" s="60">
        <f>425000*1.1*1.1</f>
        <v>514250.00000000012</v>
      </c>
      <c r="O179" s="63"/>
      <c r="P179" s="63"/>
      <c r="Q179" s="63"/>
      <c r="R179" s="75">
        <f t="shared" si="325"/>
        <v>514250.00000000012</v>
      </c>
      <c r="T179" s="60">
        <f>40000*1.15*1.15</f>
        <v>52899.999999999993</v>
      </c>
      <c r="U179" s="63"/>
      <c r="V179" s="63"/>
      <c r="W179" s="63"/>
      <c r="X179" s="75">
        <f t="shared" si="326"/>
        <v>52899.999999999993</v>
      </c>
      <c r="Y179" s="194"/>
      <c r="Z179" s="60">
        <v>60000</v>
      </c>
      <c r="AA179" s="63"/>
      <c r="AB179" s="63"/>
      <c r="AC179" s="63"/>
      <c r="AD179" s="75">
        <f t="shared" si="327"/>
        <v>60000</v>
      </c>
      <c r="AE179" s="194"/>
      <c r="AF179" s="60">
        <v>125000</v>
      </c>
      <c r="AG179" s="63"/>
      <c r="AH179" s="63"/>
      <c r="AI179" s="63"/>
      <c r="AJ179" s="75">
        <f t="shared" si="328"/>
        <v>125000</v>
      </c>
      <c r="AL179" s="60"/>
      <c r="AM179" s="61"/>
      <c r="AN179" s="61"/>
      <c r="AO179" s="61"/>
      <c r="AP179" s="75">
        <f t="shared" si="329"/>
        <v>0</v>
      </c>
      <c r="AR179" s="60">
        <f t="shared" si="330"/>
        <v>1173230.0000000002</v>
      </c>
      <c r="AS179" s="60">
        <f t="shared" si="322"/>
        <v>0</v>
      </c>
      <c r="AT179" s="60">
        <f t="shared" si="322"/>
        <v>0</v>
      </c>
      <c r="AU179" s="60">
        <f t="shared" si="322"/>
        <v>0</v>
      </c>
      <c r="AV179" s="75">
        <f t="shared" si="331"/>
        <v>1173230.0000000002</v>
      </c>
    </row>
    <row r="180" spans="1:48" x14ac:dyDescent="0.25">
      <c r="A180" s="32" t="s">
        <v>129</v>
      </c>
      <c r="B180" s="60">
        <v>0</v>
      </c>
      <c r="C180" s="63"/>
      <c r="D180" s="61">
        <f>2.6*950*180</f>
        <v>444600</v>
      </c>
      <c r="E180" s="63"/>
      <c r="F180" s="75">
        <f t="shared" si="323"/>
        <v>444600</v>
      </c>
      <c r="H180" s="60">
        <v>0</v>
      </c>
      <c r="I180" s="63"/>
      <c r="J180" s="61">
        <f>875*2.6*180</f>
        <v>409500</v>
      </c>
      <c r="K180" s="63"/>
      <c r="L180" s="75">
        <f t="shared" si="324"/>
        <v>409500</v>
      </c>
      <c r="N180" s="60">
        <v>0</v>
      </c>
      <c r="O180" s="63"/>
      <c r="P180" s="61">
        <f>1100*2.6*180</f>
        <v>514800</v>
      </c>
      <c r="Q180" s="63"/>
      <c r="R180" s="75">
        <f t="shared" si="325"/>
        <v>514800</v>
      </c>
      <c r="T180" s="60">
        <v>0</v>
      </c>
      <c r="U180" s="63"/>
      <c r="V180" s="61">
        <f>2.5*330*180</f>
        <v>148500</v>
      </c>
      <c r="W180" s="63"/>
      <c r="X180" s="75">
        <f t="shared" si="326"/>
        <v>148500</v>
      </c>
      <c r="Y180" s="194"/>
      <c r="Z180" s="60">
        <v>0</v>
      </c>
      <c r="AA180" s="63"/>
      <c r="AB180" s="61">
        <f>2.55*405*180</f>
        <v>185895</v>
      </c>
      <c r="AC180" s="63"/>
      <c r="AD180" s="75">
        <f t="shared" si="327"/>
        <v>185895</v>
      </c>
      <c r="AE180" s="194"/>
      <c r="AF180" s="60">
        <v>0</v>
      </c>
      <c r="AG180" s="63"/>
      <c r="AH180" s="61">
        <f>2.5*650*180</f>
        <v>292500</v>
      </c>
      <c r="AI180" s="63"/>
      <c r="AJ180" s="75">
        <f t="shared" si="328"/>
        <v>292500</v>
      </c>
      <c r="AL180" s="60"/>
      <c r="AM180" s="61"/>
      <c r="AN180" s="61"/>
      <c r="AO180" s="61"/>
      <c r="AP180" s="75">
        <f t="shared" si="329"/>
        <v>0</v>
      </c>
      <c r="AR180" s="60">
        <f t="shared" si="330"/>
        <v>0</v>
      </c>
      <c r="AS180" s="60">
        <f t="shared" si="322"/>
        <v>0</v>
      </c>
      <c r="AT180" s="60">
        <f t="shared" si="322"/>
        <v>1995795</v>
      </c>
      <c r="AU180" s="60">
        <f t="shared" si="322"/>
        <v>0</v>
      </c>
      <c r="AV180" s="75">
        <f t="shared" si="331"/>
        <v>1995795</v>
      </c>
    </row>
    <row r="181" spans="1:48" x14ac:dyDescent="0.25">
      <c r="A181" s="32" t="s">
        <v>130</v>
      </c>
      <c r="B181" s="60">
        <v>0</v>
      </c>
      <c r="C181" s="63"/>
      <c r="D181" s="61">
        <f>805*4.01*180</f>
        <v>581049</v>
      </c>
      <c r="E181" s="63"/>
      <c r="F181" s="75">
        <f t="shared" si="323"/>
        <v>581049</v>
      </c>
      <c r="H181" s="60">
        <v>0</v>
      </c>
      <c r="I181" s="63"/>
      <c r="J181" s="61">
        <f>600*4.01*180</f>
        <v>433080</v>
      </c>
      <c r="K181" s="63"/>
      <c r="L181" s="75">
        <f t="shared" si="324"/>
        <v>433080</v>
      </c>
      <c r="N181" s="60">
        <v>0</v>
      </c>
      <c r="O181" s="63"/>
      <c r="P181" s="61">
        <f>1100*4.01*180</f>
        <v>793980</v>
      </c>
      <c r="Q181" s="63"/>
      <c r="R181" s="75">
        <f t="shared" si="325"/>
        <v>793980</v>
      </c>
      <c r="T181" s="60">
        <v>0</v>
      </c>
      <c r="U181" s="63"/>
      <c r="V181" s="61">
        <f>330*4*180</f>
        <v>237600</v>
      </c>
      <c r="W181" s="63"/>
      <c r="X181" s="75">
        <f t="shared" si="326"/>
        <v>237600</v>
      </c>
      <c r="Y181" s="194"/>
      <c r="Z181" s="60">
        <v>0</v>
      </c>
      <c r="AA181" s="63"/>
      <c r="AB181" s="61">
        <f>430*4.05*180</f>
        <v>313470</v>
      </c>
      <c r="AC181" s="63"/>
      <c r="AD181" s="75">
        <f t="shared" si="327"/>
        <v>313470</v>
      </c>
      <c r="AE181" s="194"/>
      <c r="AF181" s="60">
        <v>0</v>
      </c>
      <c r="AG181" s="63"/>
      <c r="AH181" s="61">
        <f>650*4*180</f>
        <v>468000</v>
      </c>
      <c r="AI181" s="63"/>
      <c r="AJ181" s="75">
        <f t="shared" si="328"/>
        <v>468000</v>
      </c>
      <c r="AL181" s="60"/>
      <c r="AM181" s="61"/>
      <c r="AN181" s="61"/>
      <c r="AO181" s="61"/>
      <c r="AP181" s="75">
        <f t="shared" si="329"/>
        <v>0</v>
      </c>
      <c r="AR181" s="60">
        <f t="shared" si="330"/>
        <v>0</v>
      </c>
      <c r="AS181" s="60">
        <f t="shared" si="322"/>
        <v>0</v>
      </c>
      <c r="AT181" s="60">
        <f t="shared" si="322"/>
        <v>2827179</v>
      </c>
      <c r="AU181" s="60">
        <f t="shared" si="322"/>
        <v>0</v>
      </c>
      <c r="AV181" s="75">
        <f t="shared" si="331"/>
        <v>2827179</v>
      </c>
    </row>
    <row r="182" spans="1:48" x14ac:dyDescent="0.25">
      <c r="A182" s="32" t="s">
        <v>131</v>
      </c>
      <c r="B182" s="60">
        <f>5000+500+500</f>
        <v>6000</v>
      </c>
      <c r="C182" s="63"/>
      <c r="D182" s="63"/>
      <c r="E182" s="63"/>
      <c r="F182" s="75">
        <f t="shared" si="323"/>
        <v>6000</v>
      </c>
      <c r="H182" s="60">
        <f>5000+500+500</f>
        <v>6000</v>
      </c>
      <c r="I182" s="63"/>
      <c r="J182" s="63"/>
      <c r="K182" s="63"/>
      <c r="L182" s="75">
        <f t="shared" si="324"/>
        <v>6000</v>
      </c>
      <c r="N182" s="60">
        <f>6000+500+500</f>
        <v>7000</v>
      </c>
      <c r="O182" s="63"/>
      <c r="P182" s="63"/>
      <c r="Q182" s="63"/>
      <c r="R182" s="75">
        <f t="shared" si="325"/>
        <v>7000</v>
      </c>
      <c r="T182" s="60">
        <f>5000+2500+1000</f>
        <v>8500</v>
      </c>
      <c r="U182" s="63"/>
      <c r="V182" s="63"/>
      <c r="W182" s="63"/>
      <c r="X182" s="75">
        <f t="shared" si="326"/>
        <v>8500</v>
      </c>
      <c r="Y182" s="194"/>
      <c r="Z182" s="60">
        <f>5000+2500+500</f>
        <v>8000</v>
      </c>
      <c r="AA182" s="63"/>
      <c r="AB182" s="63"/>
      <c r="AC182" s="63"/>
      <c r="AD182" s="75">
        <f t="shared" si="327"/>
        <v>8000</v>
      </c>
      <c r="AE182" s="194"/>
      <c r="AF182" s="60">
        <f>5000+2500</f>
        <v>7500</v>
      </c>
      <c r="AG182" s="63"/>
      <c r="AH182" s="63"/>
      <c r="AI182" s="63"/>
      <c r="AJ182" s="75">
        <f t="shared" si="328"/>
        <v>7500</v>
      </c>
      <c r="AL182" s="60"/>
      <c r="AM182" s="61"/>
      <c r="AN182" s="61"/>
      <c r="AO182" s="61"/>
      <c r="AP182" s="75">
        <f t="shared" si="329"/>
        <v>0</v>
      </c>
      <c r="AR182" s="60">
        <f t="shared" si="330"/>
        <v>43000</v>
      </c>
      <c r="AS182" s="60">
        <f t="shared" si="322"/>
        <v>0</v>
      </c>
      <c r="AT182" s="60">
        <f t="shared" si="322"/>
        <v>0</v>
      </c>
      <c r="AU182" s="60">
        <f t="shared" si="322"/>
        <v>0</v>
      </c>
      <c r="AV182" s="75">
        <f t="shared" si="331"/>
        <v>43000</v>
      </c>
    </row>
    <row r="183" spans="1:48" x14ac:dyDescent="0.25">
      <c r="A183" s="32" t="s">
        <v>132</v>
      </c>
      <c r="B183" s="60">
        <f>1000+250+250</f>
        <v>1500</v>
      </c>
      <c r="C183" s="63"/>
      <c r="D183" s="63"/>
      <c r="E183" s="63"/>
      <c r="F183" s="75">
        <f t="shared" si="323"/>
        <v>1500</v>
      </c>
      <c r="H183" s="60">
        <f>1000+250+200</f>
        <v>1450</v>
      </c>
      <c r="I183" s="63"/>
      <c r="J183" s="63"/>
      <c r="K183" s="63"/>
      <c r="L183" s="75">
        <f t="shared" si="324"/>
        <v>1450</v>
      </c>
      <c r="N183" s="60">
        <f>2000+250+250</f>
        <v>2500</v>
      </c>
      <c r="O183" s="63"/>
      <c r="P183" s="63"/>
      <c r="Q183" s="63"/>
      <c r="R183" s="75">
        <f t="shared" si="325"/>
        <v>2500</v>
      </c>
      <c r="T183" s="60">
        <f>1000+100+100</f>
        <v>1200</v>
      </c>
      <c r="U183" s="63"/>
      <c r="V183" s="63"/>
      <c r="W183" s="63"/>
      <c r="X183" s="75">
        <f t="shared" si="326"/>
        <v>1200</v>
      </c>
      <c r="Y183" s="194"/>
      <c r="Z183" s="60">
        <f>1000+100+100</f>
        <v>1200</v>
      </c>
      <c r="AA183" s="63"/>
      <c r="AB183" s="63"/>
      <c r="AC183" s="63"/>
      <c r="AD183" s="75">
        <f t="shared" si="327"/>
        <v>1200</v>
      </c>
      <c r="AE183" s="194"/>
      <c r="AF183" s="60">
        <f>1000+100</f>
        <v>1100</v>
      </c>
      <c r="AG183" s="63"/>
      <c r="AH183" s="63"/>
      <c r="AI183" s="63"/>
      <c r="AJ183" s="75">
        <f t="shared" si="328"/>
        <v>1100</v>
      </c>
      <c r="AL183" s="60"/>
      <c r="AM183" s="61"/>
      <c r="AN183" s="61"/>
      <c r="AO183" s="61"/>
      <c r="AP183" s="75">
        <f t="shared" si="329"/>
        <v>0</v>
      </c>
      <c r="AR183" s="60">
        <f t="shared" si="330"/>
        <v>8950</v>
      </c>
      <c r="AS183" s="60">
        <f t="shared" si="322"/>
        <v>0</v>
      </c>
      <c r="AT183" s="60">
        <f t="shared" si="322"/>
        <v>0</v>
      </c>
      <c r="AU183" s="60">
        <f t="shared" si="322"/>
        <v>0</v>
      </c>
      <c r="AV183" s="75">
        <f t="shared" si="331"/>
        <v>8950</v>
      </c>
    </row>
    <row r="184" spans="1:48" x14ac:dyDescent="0.25">
      <c r="A184" s="32" t="s">
        <v>133</v>
      </c>
      <c r="B184" s="60">
        <f>1000+100+100</f>
        <v>1200</v>
      </c>
      <c r="C184" s="63"/>
      <c r="D184" s="63"/>
      <c r="E184" s="63"/>
      <c r="F184" s="75">
        <f t="shared" si="323"/>
        <v>1200</v>
      </c>
      <c r="H184" s="60">
        <f>1000+100+100</f>
        <v>1200</v>
      </c>
      <c r="I184" s="63"/>
      <c r="J184" s="63"/>
      <c r="K184" s="63"/>
      <c r="L184" s="75">
        <f t="shared" si="324"/>
        <v>1200</v>
      </c>
      <c r="N184" s="60">
        <f>2000+200+200</f>
        <v>2400</v>
      </c>
      <c r="O184" s="63"/>
      <c r="P184" s="63"/>
      <c r="Q184" s="63"/>
      <c r="R184" s="75">
        <f t="shared" si="325"/>
        <v>2400</v>
      </c>
      <c r="T184" s="60">
        <f>1000+100+100</f>
        <v>1200</v>
      </c>
      <c r="U184" s="63"/>
      <c r="V184" s="63"/>
      <c r="W184" s="63"/>
      <c r="X184" s="75">
        <f t="shared" si="326"/>
        <v>1200</v>
      </c>
      <c r="Y184" s="194"/>
      <c r="Z184" s="60">
        <f>1000+100+100</f>
        <v>1200</v>
      </c>
      <c r="AA184" s="63"/>
      <c r="AB184" s="63"/>
      <c r="AC184" s="63"/>
      <c r="AD184" s="75">
        <f t="shared" si="327"/>
        <v>1200</v>
      </c>
      <c r="AE184" s="194"/>
      <c r="AF184" s="60">
        <f>1000+100</f>
        <v>1100</v>
      </c>
      <c r="AG184" s="63"/>
      <c r="AH184" s="63"/>
      <c r="AI184" s="63"/>
      <c r="AJ184" s="75">
        <f t="shared" si="328"/>
        <v>1100</v>
      </c>
      <c r="AL184" s="60"/>
      <c r="AM184" s="61"/>
      <c r="AN184" s="61"/>
      <c r="AO184" s="61"/>
      <c r="AP184" s="75">
        <f t="shared" si="329"/>
        <v>0</v>
      </c>
      <c r="AR184" s="60">
        <f t="shared" si="330"/>
        <v>8300</v>
      </c>
      <c r="AS184" s="60">
        <f t="shared" si="322"/>
        <v>0</v>
      </c>
      <c r="AT184" s="60">
        <f t="shared" si="322"/>
        <v>0</v>
      </c>
      <c r="AU184" s="60">
        <f t="shared" si="322"/>
        <v>0</v>
      </c>
      <c r="AV184" s="75">
        <f t="shared" si="331"/>
        <v>8300</v>
      </c>
    </row>
    <row r="185" spans="1:48" x14ac:dyDescent="0.25">
      <c r="A185" s="32" t="s">
        <v>134</v>
      </c>
      <c r="B185" s="63">
        <f>(9*1050)+1200+3000+4500</f>
        <v>18150</v>
      </c>
      <c r="C185" s="63"/>
      <c r="D185" s="63"/>
      <c r="E185" s="63"/>
      <c r="F185" s="75">
        <f t="shared" si="323"/>
        <v>18150</v>
      </c>
      <c r="H185" s="63">
        <f>(9*1050)+1200+3000+5500</f>
        <v>19150</v>
      </c>
      <c r="I185" s="63"/>
      <c r="J185" s="63"/>
      <c r="K185" s="63"/>
      <c r="L185" s="75">
        <f t="shared" si="324"/>
        <v>19150</v>
      </c>
      <c r="N185" s="63">
        <f>(9*2500)+1200+3000+5500+8000</f>
        <v>40200</v>
      </c>
      <c r="O185" s="63"/>
      <c r="P185" s="63"/>
      <c r="Q185" s="63"/>
      <c r="R185" s="75">
        <f t="shared" si="325"/>
        <v>40200</v>
      </c>
      <c r="T185" s="63">
        <f>((9*1050)+1200+3500)*1.03*1.03</f>
        <v>15011.735000000001</v>
      </c>
      <c r="U185" s="63"/>
      <c r="V185" s="63"/>
      <c r="W185" s="63"/>
      <c r="X185" s="75">
        <f t="shared" si="326"/>
        <v>15011.735000000001</v>
      </c>
      <c r="Y185" s="194"/>
      <c r="Z185" s="63">
        <f>((9*1050)+1200+3500)*1.03</f>
        <v>14574.5</v>
      </c>
      <c r="AA185" s="63"/>
      <c r="AB185" s="63"/>
      <c r="AC185" s="63"/>
      <c r="AD185" s="75">
        <f t="shared" si="327"/>
        <v>14574.5</v>
      </c>
      <c r="AE185" s="194"/>
      <c r="AF185" s="63">
        <f>((8*1050)+1200+2500)*1.03</f>
        <v>12463</v>
      </c>
      <c r="AG185" s="63"/>
      <c r="AH185" s="63"/>
      <c r="AI185" s="63"/>
      <c r="AJ185" s="75">
        <f t="shared" si="328"/>
        <v>12463</v>
      </c>
      <c r="AL185" s="61"/>
      <c r="AM185" s="61"/>
      <c r="AN185" s="61"/>
      <c r="AO185" s="61"/>
      <c r="AP185" s="75">
        <f t="shared" si="329"/>
        <v>0</v>
      </c>
      <c r="AR185" s="60">
        <f t="shared" si="330"/>
        <v>119549.235</v>
      </c>
      <c r="AS185" s="60">
        <f t="shared" si="322"/>
        <v>0</v>
      </c>
      <c r="AT185" s="60">
        <f t="shared" si="322"/>
        <v>0</v>
      </c>
      <c r="AU185" s="60">
        <f t="shared" si="322"/>
        <v>0</v>
      </c>
      <c r="AV185" s="75">
        <f t="shared" si="331"/>
        <v>119549.235</v>
      </c>
    </row>
    <row r="186" spans="1:48" x14ac:dyDescent="0.25">
      <c r="A186" s="32" t="s">
        <v>135</v>
      </c>
      <c r="B186" s="63"/>
      <c r="C186" s="63"/>
      <c r="D186" s="63"/>
      <c r="E186" s="63"/>
      <c r="F186" s="75">
        <f t="shared" si="323"/>
        <v>0</v>
      </c>
      <c r="H186" s="63"/>
      <c r="I186" s="63"/>
      <c r="J186" s="63"/>
      <c r="K186" s="63"/>
      <c r="L186" s="75">
        <f t="shared" si="324"/>
        <v>0</v>
      </c>
      <c r="N186" s="63">
        <v>72500</v>
      </c>
      <c r="O186" s="63"/>
      <c r="P186" s="63"/>
      <c r="Q186" s="63"/>
      <c r="R186" s="75">
        <f t="shared" si="325"/>
        <v>72500</v>
      </c>
      <c r="T186" s="63"/>
      <c r="U186" s="63"/>
      <c r="V186" s="63"/>
      <c r="W186" s="63"/>
      <c r="X186" s="75">
        <f t="shared" si="326"/>
        <v>0</v>
      </c>
      <c r="Y186" s="194"/>
      <c r="Z186" s="63"/>
      <c r="AA186" s="63"/>
      <c r="AB186" s="63"/>
      <c r="AC186" s="63"/>
      <c r="AD186" s="75">
        <f t="shared" si="327"/>
        <v>0</v>
      </c>
      <c r="AE186" s="194"/>
      <c r="AF186" s="63"/>
      <c r="AG186" s="63"/>
      <c r="AH186" s="63"/>
      <c r="AI186" s="63"/>
      <c r="AJ186" s="75">
        <f t="shared" si="328"/>
        <v>0</v>
      </c>
      <c r="AL186" s="61"/>
      <c r="AM186" s="61"/>
      <c r="AN186" s="61"/>
      <c r="AO186" s="61"/>
      <c r="AP186" s="75">
        <f t="shared" si="329"/>
        <v>0</v>
      </c>
      <c r="AR186" s="60">
        <f t="shared" si="330"/>
        <v>72500</v>
      </c>
      <c r="AS186" s="60">
        <f t="shared" si="322"/>
        <v>0</v>
      </c>
      <c r="AT186" s="60">
        <f t="shared" si="322"/>
        <v>0</v>
      </c>
      <c r="AU186" s="60">
        <f t="shared" si="322"/>
        <v>0</v>
      </c>
      <c r="AV186" s="75">
        <f t="shared" si="331"/>
        <v>72500</v>
      </c>
    </row>
    <row r="187" spans="1:48" x14ac:dyDescent="0.25">
      <c r="A187" s="32" t="s">
        <v>136</v>
      </c>
      <c r="B187" s="63"/>
      <c r="C187" s="63"/>
      <c r="D187" s="63"/>
      <c r="E187" s="63"/>
      <c r="F187" s="75">
        <f t="shared" si="323"/>
        <v>0</v>
      </c>
      <c r="H187" s="63"/>
      <c r="I187" s="63"/>
      <c r="J187" s="63"/>
      <c r="K187" s="63"/>
      <c r="L187" s="75">
        <f t="shared" si="324"/>
        <v>0</v>
      </c>
      <c r="N187" s="63"/>
      <c r="O187" s="63"/>
      <c r="P187" s="63"/>
      <c r="Q187" s="63"/>
      <c r="R187" s="75">
        <f t="shared" si="325"/>
        <v>0</v>
      </c>
      <c r="T187" s="63"/>
      <c r="U187" s="63"/>
      <c r="V187" s="63"/>
      <c r="W187" s="63"/>
      <c r="X187" s="75">
        <f t="shared" si="326"/>
        <v>0</v>
      </c>
      <c r="Y187" s="194"/>
      <c r="Z187" s="63"/>
      <c r="AA187" s="63"/>
      <c r="AB187" s="63"/>
      <c r="AC187" s="63"/>
      <c r="AD187" s="75">
        <f t="shared" si="327"/>
        <v>0</v>
      </c>
      <c r="AE187" s="194"/>
      <c r="AF187" s="63"/>
      <c r="AG187" s="63"/>
      <c r="AH187" s="63"/>
      <c r="AI187" s="63"/>
      <c r="AJ187" s="75">
        <f t="shared" si="328"/>
        <v>0</v>
      </c>
      <c r="AL187" s="61"/>
      <c r="AM187" s="61"/>
      <c r="AN187" s="61"/>
      <c r="AO187" s="61"/>
      <c r="AP187" s="75">
        <f t="shared" si="329"/>
        <v>0</v>
      </c>
      <c r="AR187" s="60">
        <f t="shared" si="330"/>
        <v>0</v>
      </c>
      <c r="AS187" s="60">
        <f t="shared" si="322"/>
        <v>0</v>
      </c>
      <c r="AT187" s="60">
        <f t="shared" si="322"/>
        <v>0</v>
      </c>
      <c r="AU187" s="60">
        <f t="shared" si="322"/>
        <v>0</v>
      </c>
      <c r="AV187" s="75">
        <f t="shared" si="331"/>
        <v>0</v>
      </c>
    </row>
    <row r="188" spans="1:48" x14ac:dyDescent="0.25">
      <c r="A188" s="32" t="s">
        <v>137</v>
      </c>
      <c r="B188" s="63">
        <v>0</v>
      </c>
      <c r="C188" s="63"/>
      <c r="D188" s="63"/>
      <c r="E188" s="63"/>
      <c r="F188" s="75">
        <f t="shared" si="323"/>
        <v>0</v>
      </c>
      <c r="H188" s="63">
        <v>0</v>
      </c>
      <c r="I188" s="63"/>
      <c r="J188" s="63"/>
      <c r="K188" s="63"/>
      <c r="L188" s="75">
        <f t="shared" si="324"/>
        <v>0</v>
      </c>
      <c r="N188" s="63">
        <f>86100+205000</f>
        <v>291100</v>
      </c>
      <c r="O188" s="63"/>
      <c r="P188" s="63"/>
      <c r="Q188" s="63"/>
      <c r="R188" s="75">
        <f t="shared" si="325"/>
        <v>291100</v>
      </c>
      <c r="T188" s="63">
        <v>0</v>
      </c>
      <c r="U188" s="63"/>
      <c r="V188" s="63"/>
      <c r="W188" s="63"/>
      <c r="X188" s="75">
        <f t="shared" si="326"/>
        <v>0</v>
      </c>
      <c r="Y188" s="194"/>
      <c r="Z188" s="218">
        <v>120700</v>
      </c>
      <c r="AA188" s="63"/>
      <c r="AB188" s="63"/>
      <c r="AC188" s="63"/>
      <c r="AD188" s="75">
        <f t="shared" si="327"/>
        <v>120700</v>
      </c>
      <c r="AE188" s="194"/>
      <c r="AF188" s="63">
        <v>120000</v>
      </c>
      <c r="AG188" s="63"/>
      <c r="AH188" s="63"/>
      <c r="AI188" s="63"/>
      <c r="AJ188" s="75">
        <f t="shared" si="328"/>
        <v>120000</v>
      </c>
      <c r="AL188" s="61"/>
      <c r="AM188" s="61"/>
      <c r="AN188" s="61"/>
      <c r="AO188" s="61"/>
      <c r="AP188" s="75">
        <f t="shared" si="329"/>
        <v>0</v>
      </c>
      <c r="AR188" s="60">
        <f t="shared" si="330"/>
        <v>531800</v>
      </c>
      <c r="AS188" s="60">
        <f t="shared" si="322"/>
        <v>0</v>
      </c>
      <c r="AT188" s="60">
        <f t="shared" si="322"/>
        <v>0</v>
      </c>
      <c r="AU188" s="60">
        <f t="shared" si="322"/>
        <v>0</v>
      </c>
      <c r="AV188" s="75">
        <f t="shared" si="331"/>
        <v>531800</v>
      </c>
    </row>
    <row r="189" spans="1:48" x14ac:dyDescent="0.25">
      <c r="A189" s="32" t="s">
        <v>138</v>
      </c>
      <c r="B189" s="63"/>
      <c r="C189" s="63"/>
      <c r="D189" s="63"/>
      <c r="E189" s="63"/>
      <c r="F189" s="75">
        <f t="shared" si="323"/>
        <v>0</v>
      </c>
      <c r="H189" s="63"/>
      <c r="I189" s="63"/>
      <c r="J189" s="63"/>
      <c r="K189" s="63"/>
      <c r="L189" s="75">
        <f t="shared" si="324"/>
        <v>0</v>
      </c>
      <c r="N189" s="63"/>
      <c r="O189" s="63"/>
      <c r="P189" s="63"/>
      <c r="Q189" s="63"/>
      <c r="R189" s="75">
        <f t="shared" si="325"/>
        <v>0</v>
      </c>
      <c r="T189" s="63"/>
      <c r="U189" s="63"/>
      <c r="V189" s="63"/>
      <c r="W189" s="63"/>
      <c r="X189" s="75">
        <f t="shared" si="326"/>
        <v>0</v>
      </c>
      <c r="Y189" s="194"/>
      <c r="Z189" s="63"/>
      <c r="AA189" s="63"/>
      <c r="AB189" s="63"/>
      <c r="AC189" s="63"/>
      <c r="AD189" s="75">
        <f t="shared" si="327"/>
        <v>0</v>
      </c>
      <c r="AE189" s="194"/>
      <c r="AF189" s="63"/>
      <c r="AG189" s="63"/>
      <c r="AH189" s="63"/>
      <c r="AI189" s="63"/>
      <c r="AJ189" s="75">
        <f t="shared" si="328"/>
        <v>0</v>
      </c>
      <c r="AL189" s="61"/>
      <c r="AM189" s="61"/>
      <c r="AN189" s="61"/>
      <c r="AO189" s="61"/>
      <c r="AP189" s="75">
        <f t="shared" si="329"/>
        <v>0</v>
      </c>
      <c r="AR189" s="60">
        <f t="shared" si="330"/>
        <v>0</v>
      </c>
      <c r="AS189" s="60">
        <f t="shared" si="322"/>
        <v>0</v>
      </c>
      <c r="AT189" s="60">
        <f t="shared" si="322"/>
        <v>0</v>
      </c>
      <c r="AU189" s="60">
        <f t="shared" si="322"/>
        <v>0</v>
      </c>
      <c r="AV189" s="75">
        <f t="shared" si="331"/>
        <v>0</v>
      </c>
    </row>
    <row r="190" spans="1:48" x14ac:dyDescent="0.25">
      <c r="A190" s="32" t="s">
        <v>139</v>
      </c>
      <c r="B190" s="63"/>
      <c r="C190" s="63"/>
      <c r="D190" s="63"/>
      <c r="E190" s="63"/>
      <c r="F190" s="75">
        <f t="shared" si="323"/>
        <v>0</v>
      </c>
      <c r="H190" s="63"/>
      <c r="I190" s="63"/>
      <c r="J190" s="63"/>
      <c r="K190" s="63"/>
      <c r="L190" s="75">
        <f t="shared" si="324"/>
        <v>0</v>
      </c>
      <c r="N190" s="63"/>
      <c r="O190" s="63"/>
      <c r="P190" s="63"/>
      <c r="Q190" s="63"/>
      <c r="R190" s="75">
        <f t="shared" si="325"/>
        <v>0</v>
      </c>
      <c r="T190" s="63"/>
      <c r="U190" s="63"/>
      <c r="V190" s="63"/>
      <c r="W190" s="63"/>
      <c r="X190" s="75">
        <f t="shared" si="326"/>
        <v>0</v>
      </c>
      <c r="Y190" s="194"/>
      <c r="Z190" s="63"/>
      <c r="AA190" s="63"/>
      <c r="AB190" s="63"/>
      <c r="AC190" s="63"/>
      <c r="AD190" s="75">
        <f t="shared" si="327"/>
        <v>0</v>
      </c>
      <c r="AE190" s="194"/>
      <c r="AF190" s="63"/>
      <c r="AG190" s="63"/>
      <c r="AH190" s="63"/>
      <c r="AI190" s="63"/>
      <c r="AJ190" s="75">
        <f t="shared" si="328"/>
        <v>0</v>
      </c>
      <c r="AL190" s="61"/>
      <c r="AM190" s="61"/>
      <c r="AN190" s="61"/>
      <c r="AO190" s="61"/>
      <c r="AP190" s="75">
        <f t="shared" si="329"/>
        <v>0</v>
      </c>
      <c r="AR190" s="60">
        <f t="shared" si="330"/>
        <v>0</v>
      </c>
      <c r="AS190" s="60">
        <f t="shared" si="330"/>
        <v>0</v>
      </c>
      <c r="AT190" s="60">
        <f t="shared" si="330"/>
        <v>0</v>
      </c>
      <c r="AU190" s="60">
        <f t="shared" si="330"/>
        <v>0</v>
      </c>
      <c r="AV190" s="75">
        <f t="shared" si="331"/>
        <v>0</v>
      </c>
    </row>
    <row r="191" spans="1:48" x14ac:dyDescent="0.25">
      <c r="A191" s="32" t="s">
        <v>140</v>
      </c>
      <c r="B191" s="63"/>
      <c r="C191" s="63"/>
      <c r="D191" s="63"/>
      <c r="E191" s="63"/>
      <c r="F191" s="75">
        <f t="shared" si="323"/>
        <v>0</v>
      </c>
      <c r="H191" s="63"/>
      <c r="I191" s="63"/>
      <c r="J191" s="63"/>
      <c r="K191" s="63"/>
      <c r="L191" s="75">
        <f t="shared" si="324"/>
        <v>0</v>
      </c>
      <c r="N191" s="63"/>
      <c r="O191" s="63"/>
      <c r="P191" s="63"/>
      <c r="Q191" s="63"/>
      <c r="R191" s="75">
        <f t="shared" si="325"/>
        <v>0</v>
      </c>
      <c r="T191" s="63"/>
      <c r="U191" s="63"/>
      <c r="V191" s="63"/>
      <c r="W191" s="63"/>
      <c r="X191" s="75">
        <f t="shared" si="326"/>
        <v>0</v>
      </c>
      <c r="Y191" s="194"/>
      <c r="Z191" s="63"/>
      <c r="AA191" s="63"/>
      <c r="AB191" s="63"/>
      <c r="AC191" s="63"/>
      <c r="AD191" s="75">
        <f t="shared" si="327"/>
        <v>0</v>
      </c>
      <c r="AE191" s="194"/>
      <c r="AF191" s="63"/>
      <c r="AG191" s="63"/>
      <c r="AH191" s="63"/>
      <c r="AI191" s="63"/>
      <c r="AJ191" s="75">
        <f t="shared" si="328"/>
        <v>0</v>
      </c>
      <c r="AL191" s="61"/>
      <c r="AM191" s="61"/>
      <c r="AN191" s="61"/>
      <c r="AO191" s="61"/>
      <c r="AP191" s="75">
        <f t="shared" si="329"/>
        <v>0</v>
      </c>
      <c r="AR191" s="60">
        <f t="shared" si="330"/>
        <v>0</v>
      </c>
      <c r="AS191" s="60">
        <f t="shared" si="330"/>
        <v>0</v>
      </c>
      <c r="AT191" s="60">
        <f t="shared" si="330"/>
        <v>0</v>
      </c>
      <c r="AU191" s="60">
        <f t="shared" si="330"/>
        <v>0</v>
      </c>
      <c r="AV191" s="75">
        <f t="shared" si="331"/>
        <v>0</v>
      </c>
    </row>
    <row r="192" spans="1:48" x14ac:dyDescent="0.25">
      <c r="A192" s="32" t="s">
        <v>141</v>
      </c>
      <c r="B192" s="63">
        <v>5500</v>
      </c>
      <c r="C192" s="63"/>
      <c r="D192" s="63"/>
      <c r="E192" s="63"/>
      <c r="F192" s="75">
        <f t="shared" si="323"/>
        <v>5500</v>
      </c>
      <c r="H192" s="63">
        <v>5500</v>
      </c>
      <c r="I192" s="63"/>
      <c r="J192" s="63"/>
      <c r="K192" s="63"/>
      <c r="L192" s="75">
        <f t="shared" si="324"/>
        <v>5500</v>
      </c>
      <c r="N192" s="61">
        <v>10500</v>
      </c>
      <c r="O192" s="63"/>
      <c r="P192" s="63"/>
      <c r="Q192" s="63"/>
      <c r="R192" s="75">
        <f t="shared" si="325"/>
        <v>10500</v>
      </c>
      <c r="T192" s="63">
        <v>2000</v>
      </c>
      <c r="U192" s="63"/>
      <c r="V192" s="63"/>
      <c r="W192" s="63"/>
      <c r="X192" s="75">
        <f t="shared" si="326"/>
        <v>2000</v>
      </c>
      <c r="Y192" s="194"/>
      <c r="Z192" s="63">
        <v>2000</v>
      </c>
      <c r="AA192" s="63"/>
      <c r="AB192" s="63"/>
      <c r="AC192" s="63"/>
      <c r="AD192" s="75">
        <f t="shared" si="327"/>
        <v>2000</v>
      </c>
      <c r="AE192" s="194"/>
      <c r="AF192" s="63">
        <v>2000</v>
      </c>
      <c r="AG192" s="63"/>
      <c r="AH192" s="63"/>
      <c r="AI192" s="63"/>
      <c r="AJ192" s="75">
        <f t="shared" si="328"/>
        <v>2000</v>
      </c>
      <c r="AL192" s="61"/>
      <c r="AM192" s="61"/>
      <c r="AN192" s="61"/>
      <c r="AO192" s="61">
        <v>10000</v>
      </c>
      <c r="AP192" s="75">
        <f t="shared" si="329"/>
        <v>10000</v>
      </c>
      <c r="AR192" s="60">
        <f t="shared" si="330"/>
        <v>27500</v>
      </c>
      <c r="AS192" s="60">
        <f t="shared" si="330"/>
        <v>0</v>
      </c>
      <c r="AT192" s="60">
        <f t="shared" si="330"/>
        <v>0</v>
      </c>
      <c r="AU192" s="60">
        <f t="shared" si="330"/>
        <v>10000</v>
      </c>
      <c r="AV192" s="75">
        <f t="shared" si="331"/>
        <v>37500</v>
      </c>
    </row>
    <row r="193" spans="1:49" x14ac:dyDescent="0.25">
      <c r="A193" s="33" t="s">
        <v>142</v>
      </c>
      <c r="B193" s="64">
        <f>B68*0.0175</f>
        <v>174143.2</v>
      </c>
      <c r="C193" s="64"/>
      <c r="D193" s="64"/>
      <c r="E193" s="64"/>
      <c r="F193" s="75">
        <f t="shared" si="323"/>
        <v>174143.2</v>
      </c>
      <c r="H193" s="64">
        <f>H68*0.0175</f>
        <v>174143.2</v>
      </c>
      <c r="I193" s="64"/>
      <c r="J193" s="64"/>
      <c r="K193" s="64"/>
      <c r="L193" s="75">
        <f t="shared" si="324"/>
        <v>174143.2</v>
      </c>
      <c r="N193" s="64">
        <f>N68*0.0175</f>
        <v>419773.2</v>
      </c>
      <c r="O193" s="64"/>
      <c r="P193" s="64"/>
      <c r="Q193" s="64"/>
      <c r="R193" s="75">
        <f t="shared" si="325"/>
        <v>419773.2</v>
      </c>
      <c r="T193" s="64">
        <f>T68*0.015</f>
        <v>77682</v>
      </c>
      <c r="U193" s="64"/>
      <c r="V193" s="64"/>
      <c r="W193" s="64"/>
      <c r="X193" s="75">
        <f t="shared" si="326"/>
        <v>77682</v>
      </c>
      <c r="Y193" s="194"/>
      <c r="Z193" s="64">
        <f>Z68*0</f>
        <v>0</v>
      </c>
      <c r="AA193" s="64"/>
      <c r="AB193" s="64"/>
      <c r="AC193" s="64"/>
      <c r="AD193" s="75">
        <f t="shared" si="327"/>
        <v>0</v>
      </c>
      <c r="AE193" s="194"/>
      <c r="AF193" s="64">
        <f>AF68*0</f>
        <v>0</v>
      </c>
      <c r="AG193" s="64"/>
      <c r="AH193" s="64"/>
      <c r="AI193" s="64"/>
      <c r="AJ193" s="75">
        <f t="shared" si="328"/>
        <v>0</v>
      </c>
      <c r="AL193" s="91"/>
      <c r="AM193" s="91"/>
      <c r="AN193" s="91"/>
      <c r="AO193" s="91"/>
      <c r="AP193" s="75">
        <f t="shared" si="329"/>
        <v>0</v>
      </c>
      <c r="AR193" s="60">
        <f t="shared" si="330"/>
        <v>845741.60000000009</v>
      </c>
      <c r="AS193" s="60">
        <f t="shared" si="330"/>
        <v>0</v>
      </c>
      <c r="AT193" s="60">
        <f t="shared" si="330"/>
        <v>0</v>
      </c>
      <c r="AU193" s="60">
        <f t="shared" si="330"/>
        <v>0</v>
      </c>
      <c r="AV193" s="75">
        <f t="shared" si="331"/>
        <v>845741.60000000009</v>
      </c>
      <c r="AW193" s="94">
        <f>AV193/AR68</f>
        <v>1.3518489865387593E-2</v>
      </c>
    </row>
    <row r="194" spans="1:49" x14ac:dyDescent="0.25">
      <c r="A194" s="34"/>
      <c r="B194" s="76">
        <f>SUM(B174:B193)</f>
        <v>485740.0087200001</v>
      </c>
      <c r="C194" s="76">
        <f t="shared" ref="C194:F194" si="332">SUM(C174:C193)</f>
        <v>0</v>
      </c>
      <c r="D194" s="76">
        <f t="shared" si="332"/>
        <v>1025649</v>
      </c>
      <c r="E194" s="76">
        <f t="shared" si="332"/>
        <v>0</v>
      </c>
      <c r="F194" s="76">
        <f t="shared" si="332"/>
        <v>1511389.00872</v>
      </c>
      <c r="H194" s="76">
        <f>SUM(H174:H193)</f>
        <v>486618.18236000009</v>
      </c>
      <c r="I194" s="76">
        <f t="shared" ref="I194:L194" si="333">SUM(I174:I193)</f>
        <v>0</v>
      </c>
      <c r="J194" s="76">
        <f t="shared" si="333"/>
        <v>842580</v>
      </c>
      <c r="K194" s="76">
        <f t="shared" si="333"/>
        <v>0</v>
      </c>
      <c r="L194" s="76">
        <f t="shared" si="333"/>
        <v>1329198.18236</v>
      </c>
      <c r="N194" s="76">
        <f>SUM(N174:N193)</f>
        <v>1520874.0617200001</v>
      </c>
      <c r="O194" s="76">
        <f t="shared" ref="O194:R194" si="334">SUM(O174:O193)</f>
        <v>0</v>
      </c>
      <c r="P194" s="76">
        <f t="shared" si="334"/>
        <v>1308780</v>
      </c>
      <c r="Q194" s="76">
        <f t="shared" si="334"/>
        <v>0</v>
      </c>
      <c r="R194" s="76">
        <f t="shared" si="334"/>
        <v>2829654.0617200006</v>
      </c>
      <c r="T194" s="76">
        <f>SUM(T174:T193)</f>
        <v>205801.73227500002</v>
      </c>
      <c r="U194" s="76">
        <f t="shared" ref="U194:W194" si="335">SUM(U174:U193)</f>
        <v>0</v>
      </c>
      <c r="V194" s="76">
        <f t="shared" si="335"/>
        <v>386100</v>
      </c>
      <c r="W194" s="76">
        <f t="shared" si="335"/>
        <v>0</v>
      </c>
      <c r="X194" s="76">
        <f t="shared" ref="X194" si="336">SUM(X174:X193)</f>
        <v>591901.73227499996</v>
      </c>
      <c r="Y194" s="199"/>
      <c r="Z194" s="76">
        <f>SUM(Z174:Z193)</f>
        <v>257151.71454000002</v>
      </c>
      <c r="AA194" s="76">
        <f t="shared" ref="AA194:AD194" si="337">SUM(AA174:AA193)</f>
        <v>0</v>
      </c>
      <c r="AB194" s="76">
        <f t="shared" si="337"/>
        <v>499365</v>
      </c>
      <c r="AC194" s="76">
        <f t="shared" si="337"/>
        <v>0</v>
      </c>
      <c r="AD194" s="76">
        <f t="shared" si="337"/>
        <v>756516.71454000007</v>
      </c>
      <c r="AE194" s="199"/>
      <c r="AF194" s="76">
        <f>SUM(AF174:AF193)</f>
        <v>336159.49</v>
      </c>
      <c r="AG194" s="76">
        <f t="shared" ref="AG194:AJ194" si="338">SUM(AG174:AG193)</f>
        <v>0</v>
      </c>
      <c r="AH194" s="76">
        <f t="shared" si="338"/>
        <v>760500</v>
      </c>
      <c r="AI194" s="76">
        <f t="shared" si="338"/>
        <v>0</v>
      </c>
      <c r="AJ194" s="76">
        <f t="shared" si="338"/>
        <v>1096659.49</v>
      </c>
      <c r="AL194" s="76">
        <f>SUM(AL174:AL193)</f>
        <v>0</v>
      </c>
      <c r="AM194" s="76">
        <f t="shared" ref="AM194:AO194" si="339">SUM(AM174:AM193)</f>
        <v>0</v>
      </c>
      <c r="AN194" s="76">
        <f t="shared" si="339"/>
        <v>0</v>
      </c>
      <c r="AO194" s="76">
        <f t="shared" si="339"/>
        <v>10000</v>
      </c>
      <c r="AP194" s="76">
        <f t="shared" ref="AP194" si="340">SUM(AP174:AP193)</f>
        <v>10000</v>
      </c>
      <c r="AR194" s="76">
        <f>SUM(AR174:AR193)</f>
        <v>3292345.1896150005</v>
      </c>
      <c r="AS194" s="76">
        <f t="shared" ref="AS194:AV194" si="341">SUM(AS174:AS193)</f>
        <v>0</v>
      </c>
      <c r="AT194" s="76">
        <f t="shared" si="341"/>
        <v>4822974</v>
      </c>
      <c r="AU194" s="76">
        <f t="shared" si="341"/>
        <v>10000</v>
      </c>
      <c r="AV194" s="76">
        <f t="shared" si="341"/>
        <v>8125319.189615</v>
      </c>
    </row>
    <row r="195" spans="1:49" x14ac:dyDescent="0.25">
      <c r="B195" s="77"/>
      <c r="C195" s="77"/>
      <c r="D195" s="77"/>
      <c r="E195" s="77"/>
      <c r="F195" s="77"/>
      <c r="H195" s="77"/>
      <c r="I195" s="77"/>
      <c r="J195" s="77"/>
      <c r="K195" s="77"/>
      <c r="L195" s="77"/>
      <c r="N195" s="77"/>
      <c r="O195" s="77"/>
      <c r="P195" s="77"/>
      <c r="Q195" s="77"/>
      <c r="R195" s="77"/>
      <c r="T195" s="77"/>
      <c r="U195" s="77"/>
      <c r="V195" s="77"/>
      <c r="W195" s="77"/>
      <c r="X195" s="77"/>
      <c r="Y195" s="79"/>
      <c r="Z195" s="77"/>
      <c r="AA195" s="77"/>
      <c r="AB195" s="77"/>
      <c r="AC195" s="77"/>
      <c r="AD195" s="77"/>
      <c r="AE195" s="79"/>
      <c r="AF195" s="77"/>
      <c r="AG195" s="77"/>
      <c r="AH195" s="77"/>
      <c r="AI195" s="77"/>
      <c r="AJ195" s="77"/>
      <c r="AL195" s="77"/>
      <c r="AM195" s="77"/>
      <c r="AN195" s="77"/>
      <c r="AO195" s="77"/>
      <c r="AP195" s="77"/>
      <c r="AR195" s="77"/>
      <c r="AS195" s="77"/>
      <c r="AT195" s="77"/>
      <c r="AU195" s="77"/>
      <c r="AV195" s="77"/>
    </row>
    <row r="196" spans="1:49" x14ac:dyDescent="0.25">
      <c r="A196" s="28"/>
      <c r="B196" s="78" t="s">
        <v>157</v>
      </c>
      <c r="C196" s="78" t="s">
        <v>158</v>
      </c>
      <c r="D196" s="78" t="s">
        <v>159</v>
      </c>
      <c r="E196" s="78" t="str">
        <f>E173</f>
        <v>Other</v>
      </c>
      <c r="F196" s="78" t="str">
        <f>F173</f>
        <v>FY28- Mtn</v>
      </c>
      <c r="H196" s="78" t="s">
        <v>157</v>
      </c>
      <c r="I196" s="78" t="s">
        <v>158</v>
      </c>
      <c r="J196" s="78" t="s">
        <v>159</v>
      </c>
      <c r="K196" s="78" t="str">
        <f>K173</f>
        <v>Other</v>
      </c>
      <c r="L196" s="78" t="str">
        <f>L173</f>
        <v>FY28- Bon</v>
      </c>
      <c r="N196" s="78" t="s">
        <v>157</v>
      </c>
      <c r="O196" s="78" t="s">
        <v>158</v>
      </c>
      <c r="P196" s="78" t="s">
        <v>159</v>
      </c>
      <c r="Q196" s="78" t="str">
        <f>Q173</f>
        <v>Other</v>
      </c>
      <c r="R196" s="78" t="str">
        <f>R173</f>
        <v>FY28- East</v>
      </c>
      <c r="T196" s="78" t="s">
        <v>157</v>
      </c>
      <c r="U196" s="78" t="s">
        <v>158</v>
      </c>
      <c r="V196" s="78" t="s">
        <v>159</v>
      </c>
      <c r="W196" s="78" t="str">
        <f>W173</f>
        <v>Other</v>
      </c>
      <c r="X196" s="78" t="str">
        <f>X173</f>
        <v>FY28- Cactus</v>
      </c>
      <c r="Y196" s="201"/>
      <c r="Z196" s="78" t="s">
        <v>157</v>
      </c>
      <c r="AA196" s="78" t="s">
        <v>158</v>
      </c>
      <c r="AB196" s="78" t="s">
        <v>159</v>
      </c>
      <c r="AC196" s="78" t="str">
        <f>AC173</f>
        <v>Other</v>
      </c>
      <c r="AD196" s="78" t="str">
        <f>AD173</f>
        <v>FY28- Sahara</v>
      </c>
      <c r="AE196" s="201"/>
      <c r="AF196" s="78" t="s">
        <v>157</v>
      </c>
      <c r="AG196" s="78" t="s">
        <v>158</v>
      </c>
      <c r="AH196" s="78" t="s">
        <v>159</v>
      </c>
      <c r="AI196" s="78" t="str">
        <f>AI173</f>
        <v>Other</v>
      </c>
      <c r="AJ196" s="78" t="str">
        <f>AJ173</f>
        <v>FY27- VV</v>
      </c>
      <c r="AL196" s="78" t="s">
        <v>157</v>
      </c>
      <c r="AM196" s="78" t="s">
        <v>158</v>
      </c>
      <c r="AN196" s="78" t="s">
        <v>159</v>
      </c>
      <c r="AO196" s="78" t="str">
        <f>AO173</f>
        <v>Grant</v>
      </c>
      <c r="AP196" s="78" t="str">
        <f>AP173</f>
        <v>FY28 - Central</v>
      </c>
      <c r="AR196" s="78" t="s">
        <v>157</v>
      </c>
      <c r="AS196" s="78" t="s">
        <v>158</v>
      </c>
      <c r="AT196" s="78" t="s">
        <v>159</v>
      </c>
      <c r="AU196" s="78" t="str">
        <f>AU173</f>
        <v>Other</v>
      </c>
      <c r="AV196" s="78" t="str">
        <f>AV173</f>
        <v>FY28- Sys</v>
      </c>
    </row>
    <row r="197" spans="1:49" x14ac:dyDescent="0.25">
      <c r="A197" s="35" t="s">
        <v>143</v>
      </c>
      <c r="B197" s="60">
        <f>95000*1.02*1.02</f>
        <v>98838</v>
      </c>
      <c r="C197" s="75"/>
      <c r="D197" s="75"/>
      <c r="E197" s="75"/>
      <c r="F197" s="75">
        <f>SUM(B197:E197)</f>
        <v>98838</v>
      </c>
      <c r="H197" s="60">
        <f>95000*1.02*1.02</f>
        <v>98838</v>
      </c>
      <c r="I197" s="75"/>
      <c r="J197" s="75"/>
      <c r="K197" s="75"/>
      <c r="L197" s="75">
        <f>SUM(H197:K197)</f>
        <v>98838</v>
      </c>
      <c r="N197" s="60">
        <f>285000*1.02*1.02</f>
        <v>296514</v>
      </c>
      <c r="O197" s="75"/>
      <c r="P197" s="75"/>
      <c r="Q197" s="75"/>
      <c r="R197" s="75">
        <f>SUM(N197:Q197)</f>
        <v>296514</v>
      </c>
      <c r="T197" s="60">
        <f>65000*1.03*1.03</f>
        <v>68958.5</v>
      </c>
      <c r="U197" s="75"/>
      <c r="V197" s="75"/>
      <c r="W197" s="75"/>
      <c r="X197" s="75">
        <f>SUM(T197:W197)</f>
        <v>68958.5</v>
      </c>
      <c r="Y197" s="194"/>
      <c r="Z197" s="60">
        <f>70000+5000</f>
        <v>75000</v>
      </c>
      <c r="AA197" s="75"/>
      <c r="AB197" s="75"/>
      <c r="AC197" s="75"/>
      <c r="AD197" s="75">
        <f>SUM(Z197:AC197)</f>
        <v>75000</v>
      </c>
      <c r="AE197" s="194"/>
      <c r="AF197" s="60">
        <f>107500*1.03</f>
        <v>110725</v>
      </c>
      <c r="AG197" s="75"/>
      <c r="AH197" s="75"/>
      <c r="AI197" s="75"/>
      <c r="AJ197" s="75">
        <f>SUM(AF197:AI197)</f>
        <v>110725</v>
      </c>
      <c r="AL197" s="60"/>
      <c r="AM197" s="75"/>
      <c r="AN197" s="75"/>
      <c r="AO197" s="75"/>
      <c r="AP197" s="75">
        <f>SUM(AL197:AO197)</f>
        <v>0</v>
      </c>
      <c r="AR197" s="60">
        <f>B197+H197+N197+T197+AL197+AF197+Z197</f>
        <v>748873.5</v>
      </c>
      <c r="AS197" s="60">
        <f t="shared" ref="AS197:AU206" si="342">C197+I197+O197+U197+AM197+AG197+AA197</f>
        <v>0</v>
      </c>
      <c r="AT197" s="60">
        <f t="shared" si="342"/>
        <v>0</v>
      </c>
      <c r="AU197" s="60">
        <f t="shared" si="342"/>
        <v>0</v>
      </c>
      <c r="AV197" s="75">
        <f>SUM(AR197:AU197)</f>
        <v>748873.5</v>
      </c>
    </row>
    <row r="198" spans="1:49" x14ac:dyDescent="0.25">
      <c r="A198" s="32" t="s">
        <v>144</v>
      </c>
      <c r="B198" s="60">
        <v>0</v>
      </c>
      <c r="C198" s="63"/>
      <c r="D198" s="63"/>
      <c r="E198" s="63"/>
      <c r="F198" s="75">
        <f t="shared" ref="F198:F206" si="343">SUM(B198:E198)</f>
        <v>0</v>
      </c>
      <c r="H198" s="60">
        <v>0</v>
      </c>
      <c r="I198" s="63"/>
      <c r="J198" s="63"/>
      <c r="K198" s="63"/>
      <c r="L198" s="75">
        <f t="shared" ref="L198:L206" si="344">SUM(H198:K198)</f>
        <v>0</v>
      </c>
      <c r="N198" s="60">
        <f>16000*1.02*1.02</f>
        <v>16646.400000000001</v>
      </c>
      <c r="O198" s="63"/>
      <c r="P198" s="63"/>
      <c r="Q198" s="63"/>
      <c r="R198" s="75">
        <f t="shared" ref="R198:R206" si="345">SUM(N198:Q198)</f>
        <v>16646.400000000001</v>
      </c>
      <c r="T198" s="60"/>
      <c r="U198" s="63"/>
      <c r="V198" s="63"/>
      <c r="W198" s="63"/>
      <c r="X198" s="75">
        <f t="shared" ref="X198:X206" si="346">SUM(T198:W198)</f>
        <v>0</v>
      </c>
      <c r="Y198" s="194"/>
      <c r="Z198" s="60"/>
      <c r="AA198" s="63"/>
      <c r="AB198" s="63"/>
      <c r="AC198" s="63"/>
      <c r="AD198" s="75">
        <f t="shared" ref="AD198:AD206" si="347">SUM(Z198:AC198)</f>
        <v>0</v>
      </c>
      <c r="AE198" s="194"/>
      <c r="AF198" s="60">
        <v>0</v>
      </c>
      <c r="AG198" s="63"/>
      <c r="AH198" s="63"/>
      <c r="AI198" s="63"/>
      <c r="AJ198" s="75">
        <f t="shared" ref="AJ198:AJ206" si="348">SUM(AF198:AI198)</f>
        <v>0</v>
      </c>
      <c r="AL198" s="60"/>
      <c r="AM198" s="63"/>
      <c r="AN198" s="63"/>
      <c r="AO198" s="63"/>
      <c r="AP198" s="75">
        <f t="shared" ref="AP198:AP206" si="349">SUM(AL198:AO198)</f>
        <v>0</v>
      </c>
      <c r="AR198" s="60">
        <f t="shared" ref="AR198:AR206" si="350">B198+H198+N198+T198+AL198+AF198+Z198</f>
        <v>16646.400000000001</v>
      </c>
      <c r="AS198" s="60">
        <f t="shared" si="342"/>
        <v>0</v>
      </c>
      <c r="AT198" s="60">
        <f t="shared" si="342"/>
        <v>0</v>
      </c>
      <c r="AU198" s="60">
        <f t="shared" si="342"/>
        <v>0</v>
      </c>
      <c r="AV198" s="75">
        <f t="shared" ref="AV198:AV206" si="351">SUM(AR198:AU198)</f>
        <v>16646.400000000001</v>
      </c>
    </row>
    <row r="199" spans="1:49" x14ac:dyDescent="0.25">
      <c r="A199" s="32" t="s">
        <v>145</v>
      </c>
      <c r="B199" s="60">
        <f>57500*1.02*1.02</f>
        <v>59823</v>
      </c>
      <c r="C199" s="63"/>
      <c r="D199" s="63"/>
      <c r="E199" s="63"/>
      <c r="F199" s="75">
        <f t="shared" si="343"/>
        <v>59823</v>
      </c>
      <c r="H199" s="60">
        <f>57000*1.02*1.02</f>
        <v>59302.8</v>
      </c>
      <c r="I199" s="63"/>
      <c r="J199" s="63"/>
      <c r="K199" s="63"/>
      <c r="L199" s="75">
        <f t="shared" si="344"/>
        <v>59302.8</v>
      </c>
      <c r="N199" s="60">
        <f>130000*1.02*1.02</f>
        <v>135252</v>
      </c>
      <c r="O199" s="63"/>
      <c r="P199" s="63"/>
      <c r="Q199" s="63"/>
      <c r="R199" s="75">
        <f t="shared" si="345"/>
        <v>135252</v>
      </c>
      <c r="T199" s="60">
        <f>16000*1.03*1.03</f>
        <v>16974.400000000001</v>
      </c>
      <c r="U199" s="63"/>
      <c r="V199" s="63"/>
      <c r="W199" s="63"/>
      <c r="X199" s="75">
        <f t="shared" si="346"/>
        <v>16974.400000000001</v>
      </c>
      <c r="Y199" s="194"/>
      <c r="Z199" s="60">
        <f>25000*1.03</f>
        <v>25750</v>
      </c>
      <c r="AA199" s="63"/>
      <c r="AB199" s="63"/>
      <c r="AC199" s="63"/>
      <c r="AD199" s="75">
        <f t="shared" si="347"/>
        <v>25750</v>
      </c>
      <c r="AE199" s="194"/>
      <c r="AF199" s="60">
        <f>55000*1.03</f>
        <v>56650</v>
      </c>
      <c r="AG199" s="63"/>
      <c r="AH199" s="63"/>
      <c r="AI199" s="63"/>
      <c r="AJ199" s="75">
        <f t="shared" si="348"/>
        <v>56650</v>
      </c>
      <c r="AL199" s="60"/>
      <c r="AM199" s="63"/>
      <c r="AN199" s="63"/>
      <c r="AO199" s="63"/>
      <c r="AP199" s="75">
        <f t="shared" si="349"/>
        <v>0</v>
      </c>
      <c r="AR199" s="60">
        <f>B199+H199+N199+T199+AL199+AF199+Z199</f>
        <v>353752.2</v>
      </c>
      <c r="AS199" s="60">
        <f t="shared" si="342"/>
        <v>0</v>
      </c>
      <c r="AT199" s="60">
        <f t="shared" si="342"/>
        <v>0</v>
      </c>
      <c r="AU199" s="60">
        <f t="shared" si="342"/>
        <v>0</v>
      </c>
      <c r="AV199" s="75">
        <f t="shared" si="351"/>
        <v>353752.2</v>
      </c>
    </row>
    <row r="200" spans="1:49" x14ac:dyDescent="0.25">
      <c r="A200" s="32" t="s">
        <v>146</v>
      </c>
      <c r="B200" s="60">
        <f>37000*1.02*1.02</f>
        <v>38494.800000000003</v>
      </c>
      <c r="C200" s="63"/>
      <c r="D200" s="63"/>
      <c r="E200" s="63"/>
      <c r="F200" s="75">
        <f t="shared" si="343"/>
        <v>38494.800000000003</v>
      </c>
      <c r="H200" s="60">
        <f>45000*1.02*1.02</f>
        <v>46818</v>
      </c>
      <c r="I200" s="63"/>
      <c r="J200" s="63"/>
      <c r="K200" s="63"/>
      <c r="L200" s="75">
        <f t="shared" si="344"/>
        <v>46818</v>
      </c>
      <c r="N200" s="60">
        <f>70000*1.02*1.02</f>
        <v>72828</v>
      </c>
      <c r="O200" s="63"/>
      <c r="P200" s="63"/>
      <c r="Q200" s="63"/>
      <c r="R200" s="75">
        <f t="shared" si="345"/>
        <v>72828</v>
      </c>
      <c r="T200" s="60"/>
      <c r="U200" s="63"/>
      <c r="V200" s="63"/>
      <c r="W200" s="63"/>
      <c r="X200" s="75">
        <f t="shared" si="346"/>
        <v>0</v>
      </c>
      <c r="Y200" s="194"/>
      <c r="Z200" s="60">
        <f>20000*1.03</f>
        <v>20600</v>
      </c>
      <c r="AA200" s="63"/>
      <c r="AB200" s="63"/>
      <c r="AC200" s="63"/>
      <c r="AD200" s="75">
        <f t="shared" si="347"/>
        <v>20600</v>
      </c>
      <c r="AE200" s="194"/>
      <c r="AF200" s="60">
        <f>35000*1.03</f>
        <v>36050</v>
      </c>
      <c r="AG200" s="63"/>
      <c r="AH200" s="63"/>
      <c r="AI200" s="63"/>
      <c r="AJ200" s="75">
        <f t="shared" si="348"/>
        <v>36050</v>
      </c>
      <c r="AL200" s="60"/>
      <c r="AM200" s="63"/>
      <c r="AN200" s="63"/>
      <c r="AO200" s="63"/>
      <c r="AP200" s="75">
        <f t="shared" si="349"/>
        <v>0</v>
      </c>
      <c r="AR200" s="60">
        <f t="shared" si="350"/>
        <v>214790.8</v>
      </c>
      <c r="AS200" s="60">
        <f t="shared" si="342"/>
        <v>0</v>
      </c>
      <c r="AT200" s="60">
        <f t="shared" si="342"/>
        <v>0</v>
      </c>
      <c r="AU200" s="60">
        <f t="shared" si="342"/>
        <v>0</v>
      </c>
      <c r="AV200" s="75">
        <f t="shared" si="351"/>
        <v>214790.8</v>
      </c>
    </row>
    <row r="201" spans="1:49" x14ac:dyDescent="0.25">
      <c r="A201" s="32" t="s">
        <v>147</v>
      </c>
      <c r="B201" s="60">
        <f>12500*1.02*1.02</f>
        <v>13005</v>
      </c>
      <c r="C201" s="63"/>
      <c r="D201" s="63"/>
      <c r="E201" s="63"/>
      <c r="F201" s="75">
        <f t="shared" si="343"/>
        <v>13005</v>
      </c>
      <c r="H201" s="60">
        <f>7500*1.02*1.02</f>
        <v>7803</v>
      </c>
      <c r="I201" s="63"/>
      <c r="J201" s="63"/>
      <c r="K201" s="63"/>
      <c r="L201" s="75">
        <f t="shared" si="344"/>
        <v>7803</v>
      </c>
      <c r="N201" s="60">
        <f>21000*1.02*1.02</f>
        <v>21848.400000000001</v>
      </c>
      <c r="O201" s="63"/>
      <c r="P201" s="63"/>
      <c r="Q201" s="63"/>
      <c r="R201" s="75">
        <f t="shared" si="345"/>
        <v>21848.400000000001</v>
      </c>
      <c r="T201" s="60">
        <f>5500+500+500</f>
        <v>6500</v>
      </c>
      <c r="U201" s="63"/>
      <c r="V201" s="63"/>
      <c r="W201" s="63"/>
      <c r="X201" s="75">
        <f t="shared" si="346"/>
        <v>6500</v>
      </c>
      <c r="Y201" s="194"/>
      <c r="Z201" s="60">
        <f>5500+500+500</f>
        <v>6500</v>
      </c>
      <c r="AA201" s="63"/>
      <c r="AB201" s="63"/>
      <c r="AC201" s="63"/>
      <c r="AD201" s="75">
        <f t="shared" si="347"/>
        <v>6500</v>
      </c>
      <c r="AE201" s="194"/>
      <c r="AF201" s="60">
        <f>7500+500</f>
        <v>8000</v>
      </c>
      <c r="AG201" s="63"/>
      <c r="AH201" s="63"/>
      <c r="AI201" s="63"/>
      <c r="AJ201" s="75">
        <f t="shared" si="348"/>
        <v>8000</v>
      </c>
      <c r="AL201" s="60"/>
      <c r="AM201" s="63"/>
      <c r="AN201" s="63"/>
      <c r="AO201" s="63"/>
      <c r="AP201" s="75">
        <f t="shared" si="349"/>
        <v>0</v>
      </c>
      <c r="AR201" s="60">
        <f t="shared" si="350"/>
        <v>63656.4</v>
      </c>
      <c r="AS201" s="60">
        <f t="shared" si="342"/>
        <v>0</v>
      </c>
      <c r="AT201" s="60">
        <f t="shared" si="342"/>
        <v>0</v>
      </c>
      <c r="AU201" s="60">
        <f t="shared" si="342"/>
        <v>0</v>
      </c>
      <c r="AV201" s="75">
        <f t="shared" si="351"/>
        <v>63656.4</v>
      </c>
    </row>
    <row r="202" spans="1:49" x14ac:dyDescent="0.25">
      <c r="A202" s="32" t="s">
        <v>148</v>
      </c>
      <c r="B202" s="60">
        <f>((8015*13))*1.03*1.03</f>
        <v>110540.47550000002</v>
      </c>
      <c r="C202" s="63"/>
      <c r="D202" s="63"/>
      <c r="E202" s="63"/>
      <c r="F202" s="75">
        <f t="shared" si="343"/>
        <v>110540.47550000002</v>
      </c>
      <c r="H202" s="60">
        <f>(((7105*13))+10000)*1.03*1.03</f>
        <v>108599.0285</v>
      </c>
      <c r="I202" s="63"/>
      <c r="J202" s="63"/>
      <c r="K202" s="63"/>
      <c r="L202" s="75">
        <f t="shared" si="344"/>
        <v>108599.0285</v>
      </c>
      <c r="N202" s="60">
        <f>((24050*13)+(12500*2))*1.03*1.03</f>
        <v>358212.88500000001</v>
      </c>
      <c r="O202" s="63"/>
      <c r="P202" s="63"/>
      <c r="Q202" s="63"/>
      <c r="R202" s="75">
        <f t="shared" si="345"/>
        <v>358212.88500000001</v>
      </c>
      <c r="T202" s="60">
        <f>(2475*13)*1.05*1.05</f>
        <v>35472.9375</v>
      </c>
      <c r="U202" s="63"/>
      <c r="V202" s="63"/>
      <c r="W202" s="63"/>
      <c r="X202" s="75">
        <f t="shared" si="346"/>
        <v>35472.9375</v>
      </c>
      <c r="Y202" s="194"/>
      <c r="Z202" s="60">
        <f>(3000*13)*1.05*1.05</f>
        <v>42997.5</v>
      </c>
      <c r="AA202" s="63"/>
      <c r="AB202" s="63"/>
      <c r="AC202" s="63"/>
      <c r="AD202" s="75">
        <f t="shared" si="347"/>
        <v>42997.5</v>
      </c>
      <c r="AE202" s="194"/>
      <c r="AF202" s="60">
        <f>(((7105*12)))*1.05</f>
        <v>89523</v>
      </c>
      <c r="AG202" s="63"/>
      <c r="AH202" s="63"/>
      <c r="AI202" s="63"/>
      <c r="AJ202" s="75">
        <f t="shared" si="348"/>
        <v>89523</v>
      </c>
      <c r="AL202" s="60"/>
      <c r="AM202" s="63"/>
      <c r="AN202" s="63"/>
      <c r="AO202" s="63"/>
      <c r="AP202" s="75">
        <f t="shared" si="349"/>
        <v>0</v>
      </c>
      <c r="AR202" s="60">
        <f t="shared" si="350"/>
        <v>745345.82649999997</v>
      </c>
      <c r="AS202" s="60">
        <f t="shared" si="342"/>
        <v>0</v>
      </c>
      <c r="AT202" s="60">
        <f t="shared" si="342"/>
        <v>0</v>
      </c>
      <c r="AU202" s="60">
        <f t="shared" si="342"/>
        <v>0</v>
      </c>
      <c r="AV202" s="75">
        <f t="shared" si="351"/>
        <v>745345.82649999997</v>
      </c>
    </row>
    <row r="203" spans="1:49" x14ac:dyDescent="0.25">
      <c r="A203" s="32" t="s">
        <v>149</v>
      </c>
      <c r="B203" s="60">
        <f>145000+5000+5000</f>
        <v>155000</v>
      </c>
      <c r="C203" s="63"/>
      <c r="D203" s="63"/>
      <c r="E203" s="63"/>
      <c r="F203" s="75">
        <f t="shared" si="343"/>
        <v>155000</v>
      </c>
      <c r="H203" s="60">
        <f>140000+5000+5000</f>
        <v>150000</v>
      </c>
      <c r="I203" s="63"/>
      <c r="J203" s="63"/>
      <c r="K203" s="63"/>
      <c r="L203" s="75">
        <f t="shared" si="344"/>
        <v>150000</v>
      </c>
      <c r="N203" s="60">
        <f>235000+10000+10000</f>
        <v>255000</v>
      </c>
      <c r="O203" s="63"/>
      <c r="P203" s="63"/>
      <c r="Q203" s="63">
        <v>0</v>
      </c>
      <c r="R203" s="75">
        <f t="shared" si="345"/>
        <v>255000</v>
      </c>
      <c r="T203" s="60">
        <f>40000+10000+5000</f>
        <v>55000</v>
      </c>
      <c r="U203" s="63"/>
      <c r="V203" s="63">
        <v>0</v>
      </c>
      <c r="W203" s="63"/>
      <c r="X203" s="75">
        <f t="shared" si="346"/>
        <v>55000</v>
      </c>
      <c r="Y203" s="194"/>
      <c r="Z203" s="60">
        <f>40000+10000+5000</f>
        <v>55000</v>
      </c>
      <c r="AA203" s="63"/>
      <c r="AB203" s="63">
        <v>0</v>
      </c>
      <c r="AC203" s="63"/>
      <c r="AD203" s="75">
        <f t="shared" si="347"/>
        <v>55000</v>
      </c>
      <c r="AE203" s="194"/>
      <c r="AF203" s="60">
        <v>60000</v>
      </c>
      <c r="AG203" s="63"/>
      <c r="AH203" s="63">
        <v>0</v>
      </c>
      <c r="AI203" s="63"/>
      <c r="AJ203" s="75">
        <f t="shared" si="348"/>
        <v>60000</v>
      </c>
      <c r="AL203" s="60"/>
      <c r="AM203" s="63"/>
      <c r="AN203" s="63"/>
      <c r="AO203" s="63">
        <f>AO85</f>
        <v>0</v>
      </c>
      <c r="AP203" s="75">
        <f t="shared" si="349"/>
        <v>0</v>
      </c>
      <c r="AR203" s="60">
        <f t="shared" si="350"/>
        <v>730000</v>
      </c>
      <c r="AS203" s="60">
        <f t="shared" si="342"/>
        <v>0</v>
      </c>
      <c r="AT203" s="60">
        <f t="shared" si="342"/>
        <v>0</v>
      </c>
      <c r="AU203" s="60">
        <f t="shared" si="342"/>
        <v>0</v>
      </c>
      <c r="AV203" s="75">
        <f t="shared" si="351"/>
        <v>730000</v>
      </c>
    </row>
    <row r="204" spans="1:49" x14ac:dyDescent="0.25">
      <c r="A204" s="32" t="s">
        <v>150</v>
      </c>
      <c r="B204" s="60">
        <v>0</v>
      </c>
      <c r="C204" s="63"/>
      <c r="D204" s="63"/>
      <c r="E204" s="63"/>
      <c r="F204" s="75">
        <f t="shared" si="343"/>
        <v>0</v>
      </c>
      <c r="H204" s="60">
        <v>0</v>
      </c>
      <c r="I204" s="63"/>
      <c r="J204" s="63"/>
      <c r="K204" s="63"/>
      <c r="L204" s="75">
        <f t="shared" si="344"/>
        <v>0</v>
      </c>
      <c r="N204" s="60">
        <v>0</v>
      </c>
      <c r="O204" s="63"/>
      <c r="P204" s="63"/>
      <c r="Q204" s="63"/>
      <c r="R204" s="75">
        <f t="shared" si="345"/>
        <v>0</v>
      </c>
      <c r="T204" s="60"/>
      <c r="U204" s="63"/>
      <c r="V204" s="63"/>
      <c r="W204" s="63"/>
      <c r="X204" s="75">
        <f t="shared" si="346"/>
        <v>0</v>
      </c>
      <c r="Y204" s="194"/>
      <c r="Z204" s="60"/>
      <c r="AA204" s="63"/>
      <c r="AB204" s="63"/>
      <c r="AC204" s="63"/>
      <c r="AD204" s="75">
        <f t="shared" si="347"/>
        <v>0</v>
      </c>
      <c r="AE204" s="194"/>
      <c r="AF204" s="60">
        <v>0</v>
      </c>
      <c r="AG204" s="63"/>
      <c r="AH204" s="63"/>
      <c r="AI204" s="63"/>
      <c r="AJ204" s="75">
        <f t="shared" si="348"/>
        <v>0</v>
      </c>
      <c r="AL204" s="60"/>
      <c r="AM204" s="63"/>
      <c r="AN204" s="63"/>
      <c r="AO204" s="63"/>
      <c r="AP204" s="75">
        <f t="shared" si="349"/>
        <v>0</v>
      </c>
      <c r="AR204" s="60">
        <f t="shared" si="350"/>
        <v>0</v>
      </c>
      <c r="AS204" s="60">
        <f t="shared" si="342"/>
        <v>0</v>
      </c>
      <c r="AT204" s="60">
        <f t="shared" si="342"/>
        <v>0</v>
      </c>
      <c r="AU204" s="60">
        <f t="shared" si="342"/>
        <v>0</v>
      </c>
      <c r="AV204" s="75">
        <f t="shared" si="351"/>
        <v>0</v>
      </c>
    </row>
    <row r="205" spans="1:49" x14ac:dyDescent="0.25">
      <c r="A205" s="32" t="s">
        <v>151</v>
      </c>
      <c r="B205" s="60">
        <f>25250*1.02*1.02</f>
        <v>26270.100000000002</v>
      </c>
      <c r="C205" s="63"/>
      <c r="D205" s="63"/>
      <c r="E205" s="63"/>
      <c r="F205" s="75">
        <f t="shared" si="343"/>
        <v>26270.100000000002</v>
      </c>
      <c r="H205" s="60">
        <f>(((700*1.04)*12)+12000)*1.02*1.02</f>
        <v>21573.734400000001</v>
      </c>
      <c r="I205" s="63"/>
      <c r="J205" s="63"/>
      <c r="K205" s="63"/>
      <c r="L205" s="75">
        <f t="shared" si="344"/>
        <v>21573.734400000001</v>
      </c>
      <c r="N205" s="60">
        <f>(((1750*1.04)*12)+14000)*1.03*1.02</f>
        <v>37653.504000000008</v>
      </c>
      <c r="O205" s="63"/>
      <c r="P205" s="63"/>
      <c r="Q205" s="63"/>
      <c r="R205" s="75">
        <f t="shared" si="345"/>
        <v>37653.504000000008</v>
      </c>
      <c r="T205" s="60">
        <f>750*12*1.03*1.03</f>
        <v>9548.1</v>
      </c>
      <c r="U205" s="63"/>
      <c r="V205" s="63"/>
      <c r="W205" s="63"/>
      <c r="X205" s="75">
        <f t="shared" si="346"/>
        <v>9548.1</v>
      </c>
      <c r="Y205" s="194"/>
      <c r="Z205" s="60">
        <f>12000+2500</f>
        <v>14500</v>
      </c>
      <c r="AA205" s="63"/>
      <c r="AB205" s="63"/>
      <c r="AC205" s="63"/>
      <c r="AD205" s="75">
        <f t="shared" si="347"/>
        <v>14500</v>
      </c>
      <c r="AE205" s="194"/>
      <c r="AF205" s="60">
        <f>(((700*1.04)*12)+12000)*1.03</f>
        <v>21358.080000000002</v>
      </c>
      <c r="AG205" s="63"/>
      <c r="AH205" s="63"/>
      <c r="AI205" s="63"/>
      <c r="AJ205" s="75">
        <f t="shared" si="348"/>
        <v>21358.080000000002</v>
      </c>
      <c r="AL205" s="60"/>
      <c r="AM205" s="63"/>
      <c r="AN205" s="63"/>
      <c r="AO205" s="63"/>
      <c r="AP205" s="75">
        <f t="shared" si="349"/>
        <v>0</v>
      </c>
      <c r="AR205" s="60">
        <f t="shared" si="350"/>
        <v>130903.51840000002</v>
      </c>
      <c r="AS205" s="60">
        <f t="shared" si="342"/>
        <v>0</v>
      </c>
      <c r="AT205" s="60">
        <f t="shared" si="342"/>
        <v>0</v>
      </c>
      <c r="AU205" s="60">
        <f t="shared" si="342"/>
        <v>0</v>
      </c>
      <c r="AV205" s="75">
        <f t="shared" si="351"/>
        <v>130903.51840000002</v>
      </c>
    </row>
    <row r="206" spans="1:49" x14ac:dyDescent="0.25">
      <c r="A206" s="33" t="s">
        <v>152</v>
      </c>
      <c r="B206" s="60">
        <f>((13610*1.04)+20000)*1.03*1.02</f>
        <v>35882.612639999999</v>
      </c>
      <c r="C206" s="64"/>
      <c r="D206" s="64"/>
      <c r="E206" s="64"/>
      <c r="F206" s="75">
        <f t="shared" si="343"/>
        <v>35882.612639999999</v>
      </c>
      <c r="H206" s="60">
        <f>((12860*1.04)+20000)*1.03*1.02</f>
        <v>35063.144640000006</v>
      </c>
      <c r="I206" s="64"/>
      <c r="J206" s="64"/>
      <c r="K206" s="64"/>
      <c r="L206" s="75">
        <f t="shared" si="344"/>
        <v>35063.144640000006</v>
      </c>
      <c r="N206" s="60">
        <f>((24500*1.04)+30000)*1.03*1.02</f>
        <v>58287.288</v>
      </c>
      <c r="O206" s="64"/>
      <c r="P206" s="64"/>
      <c r="Q206" s="64"/>
      <c r="R206" s="75">
        <f t="shared" si="345"/>
        <v>58287.288</v>
      </c>
      <c r="T206" s="60">
        <f>20000*1.03*1.03</f>
        <v>21218</v>
      </c>
      <c r="U206" s="64"/>
      <c r="V206" s="64"/>
      <c r="W206" s="64"/>
      <c r="X206" s="75">
        <f t="shared" si="346"/>
        <v>21218</v>
      </c>
      <c r="Y206" s="194"/>
      <c r="Z206" s="60">
        <f>21000*1.03</f>
        <v>21630</v>
      </c>
      <c r="AA206" s="64"/>
      <c r="AB206" s="64"/>
      <c r="AC206" s="64"/>
      <c r="AD206" s="75">
        <f t="shared" si="347"/>
        <v>21630</v>
      </c>
      <c r="AE206" s="194"/>
      <c r="AF206" s="60">
        <f>((12860*1.04)+20000)*1.03</f>
        <v>34375.632000000005</v>
      </c>
      <c r="AG206" s="64"/>
      <c r="AH206" s="64"/>
      <c r="AI206" s="64"/>
      <c r="AJ206" s="75">
        <f t="shared" si="348"/>
        <v>34375.632000000005</v>
      </c>
      <c r="AL206" s="60"/>
      <c r="AM206" s="64"/>
      <c r="AN206" s="64"/>
      <c r="AO206" s="64"/>
      <c r="AP206" s="75">
        <f t="shared" si="349"/>
        <v>0</v>
      </c>
      <c r="AR206" s="60">
        <f t="shared" si="350"/>
        <v>206456.67728000003</v>
      </c>
      <c r="AS206" s="60">
        <f t="shared" si="342"/>
        <v>0</v>
      </c>
      <c r="AT206" s="60">
        <f t="shared" si="342"/>
        <v>0</v>
      </c>
      <c r="AU206" s="60">
        <f t="shared" si="342"/>
        <v>0</v>
      </c>
      <c r="AV206" s="75">
        <f t="shared" si="351"/>
        <v>206456.67728000003</v>
      </c>
    </row>
    <row r="207" spans="1:49" x14ac:dyDescent="0.25">
      <c r="A207" s="34"/>
      <c r="B207" s="76">
        <f>SUM(B197:B206)</f>
        <v>537853.98813999991</v>
      </c>
      <c r="C207" s="76">
        <f t="shared" ref="C207:F207" si="352">SUM(C197:C206)</f>
        <v>0</v>
      </c>
      <c r="D207" s="76">
        <f t="shared" si="352"/>
        <v>0</v>
      </c>
      <c r="E207" s="76">
        <f t="shared" si="352"/>
        <v>0</v>
      </c>
      <c r="F207" s="76">
        <f t="shared" si="352"/>
        <v>537853.98813999991</v>
      </c>
      <c r="H207" s="76">
        <f>SUM(H197:H206)</f>
        <v>527997.70753999997</v>
      </c>
      <c r="I207" s="76">
        <f t="shared" ref="I207:L207" si="353">SUM(I197:I206)</f>
        <v>0</v>
      </c>
      <c r="J207" s="76">
        <f t="shared" si="353"/>
        <v>0</v>
      </c>
      <c r="K207" s="76">
        <f t="shared" si="353"/>
        <v>0</v>
      </c>
      <c r="L207" s="76">
        <f t="shared" si="353"/>
        <v>527997.70753999997</v>
      </c>
      <c r="N207" s="76">
        <f>SUM(N197:N206)</f>
        <v>1252242.477</v>
      </c>
      <c r="O207" s="76">
        <f t="shared" ref="O207:R207" si="354">SUM(O197:O206)</f>
        <v>0</v>
      </c>
      <c r="P207" s="76">
        <f t="shared" si="354"/>
        <v>0</v>
      </c>
      <c r="Q207" s="76">
        <f t="shared" si="354"/>
        <v>0</v>
      </c>
      <c r="R207" s="76">
        <f t="shared" si="354"/>
        <v>1252242.477</v>
      </c>
      <c r="T207" s="76">
        <f>SUM(T197:T206)</f>
        <v>213671.9375</v>
      </c>
      <c r="U207" s="76">
        <f t="shared" ref="U207:W207" si="355">SUM(U197:U206)</f>
        <v>0</v>
      </c>
      <c r="V207" s="76">
        <f t="shared" si="355"/>
        <v>0</v>
      </c>
      <c r="W207" s="76">
        <f t="shared" si="355"/>
        <v>0</v>
      </c>
      <c r="X207" s="76">
        <f t="shared" ref="X207" si="356">SUM(X197:X206)</f>
        <v>213671.9375</v>
      </c>
      <c r="Y207" s="199"/>
      <c r="Z207" s="76">
        <f>SUM(Z197:Z206)</f>
        <v>261977.5</v>
      </c>
      <c r="AA207" s="76">
        <f t="shared" ref="AA207:AD207" si="357">SUM(AA197:AA206)</f>
        <v>0</v>
      </c>
      <c r="AB207" s="76">
        <f t="shared" si="357"/>
        <v>0</v>
      </c>
      <c r="AC207" s="76">
        <f t="shared" si="357"/>
        <v>0</v>
      </c>
      <c r="AD207" s="76">
        <f t="shared" si="357"/>
        <v>261977.5</v>
      </c>
      <c r="AE207" s="199"/>
      <c r="AF207" s="76">
        <f>SUM(AF197:AF206)</f>
        <v>416681.712</v>
      </c>
      <c r="AG207" s="76">
        <f t="shared" ref="AG207:AJ207" si="358">SUM(AG197:AG206)</f>
        <v>0</v>
      </c>
      <c r="AH207" s="76">
        <f t="shared" si="358"/>
        <v>0</v>
      </c>
      <c r="AI207" s="76">
        <f t="shared" si="358"/>
        <v>0</v>
      </c>
      <c r="AJ207" s="76">
        <f t="shared" si="358"/>
        <v>416681.712</v>
      </c>
      <c r="AL207" s="76">
        <f>SUM(AL197:AL206)</f>
        <v>0</v>
      </c>
      <c r="AM207" s="76">
        <f t="shared" ref="AM207:AO207" si="359">SUM(AM197:AM206)</f>
        <v>0</v>
      </c>
      <c r="AN207" s="76">
        <f t="shared" si="359"/>
        <v>0</v>
      </c>
      <c r="AO207" s="76">
        <f t="shared" si="359"/>
        <v>0</v>
      </c>
      <c r="AP207" s="76">
        <f t="shared" ref="AP207" si="360">SUM(AP197:AP206)</f>
        <v>0</v>
      </c>
      <c r="AR207" s="76">
        <f>SUM(AR197:AR206)</f>
        <v>3210425.3221800001</v>
      </c>
      <c r="AS207" s="76">
        <f t="shared" ref="AS207:AV207" si="361">SUM(AS197:AS206)</f>
        <v>0</v>
      </c>
      <c r="AT207" s="76">
        <f t="shared" si="361"/>
        <v>0</v>
      </c>
      <c r="AU207" s="76">
        <f t="shared" si="361"/>
        <v>0</v>
      </c>
      <c r="AV207" s="76">
        <f t="shared" si="361"/>
        <v>3210425.3221800001</v>
      </c>
    </row>
    <row r="208" spans="1:49" ht="16.5" thickBot="1" x14ac:dyDescent="0.3">
      <c r="B208" s="77"/>
      <c r="C208" s="77"/>
      <c r="D208" s="77"/>
      <c r="E208" s="77"/>
      <c r="F208" s="77"/>
      <c r="H208" s="77"/>
      <c r="I208" s="77"/>
      <c r="J208" s="77"/>
      <c r="K208" s="77"/>
      <c r="L208" s="77"/>
      <c r="N208" s="77"/>
      <c r="O208" s="77"/>
      <c r="P208" s="77"/>
      <c r="Q208" s="77"/>
      <c r="R208" s="77"/>
      <c r="T208" s="77"/>
      <c r="U208" s="77"/>
      <c r="V208" s="77"/>
      <c r="W208" s="77"/>
      <c r="X208" s="77"/>
      <c r="Y208" s="79"/>
      <c r="Z208" s="77"/>
      <c r="AA208" s="77"/>
      <c r="AB208" s="77"/>
      <c r="AC208" s="77"/>
      <c r="AD208" s="77"/>
      <c r="AE208" s="79"/>
      <c r="AF208" s="77"/>
      <c r="AG208" s="77"/>
      <c r="AH208" s="77"/>
      <c r="AI208" s="77"/>
      <c r="AJ208" s="77"/>
      <c r="AL208" s="77"/>
      <c r="AM208" s="77"/>
      <c r="AN208" s="77"/>
      <c r="AO208" s="77"/>
      <c r="AP208" s="77"/>
      <c r="AR208" s="77"/>
      <c r="AS208" s="77"/>
      <c r="AT208" s="77"/>
      <c r="AU208" s="77"/>
      <c r="AV208" s="77"/>
    </row>
    <row r="209" spans="1:48" ht="16.5" thickBot="1" x14ac:dyDescent="0.3">
      <c r="A209"/>
      <c r="B209" s="80">
        <f t="shared" ref="B209:F209" si="362">B207+B194+B171+B159+B149+B141+B132+B125+B116+B109</f>
        <v>10411441.976579627</v>
      </c>
      <c r="C209" s="80">
        <f t="shared" si="362"/>
        <v>1253639.5538250001</v>
      </c>
      <c r="D209" s="80">
        <f t="shared" si="362"/>
        <v>1203412</v>
      </c>
      <c r="E209" s="80">
        <f t="shared" si="362"/>
        <v>0</v>
      </c>
      <c r="F209" s="80">
        <f t="shared" si="362"/>
        <v>12868493.530404625</v>
      </c>
      <c r="H209" s="80">
        <f t="shared" ref="H209:L209" si="363">H207+H194+H171+H159+H149+H141+H132+H125+H116+H109</f>
        <v>10301388.003427502</v>
      </c>
      <c r="I209" s="80">
        <f t="shared" si="363"/>
        <v>1161299.2288250001</v>
      </c>
      <c r="J209" s="80">
        <f t="shared" si="363"/>
        <v>1019830.9</v>
      </c>
      <c r="K209" s="80">
        <f t="shared" si="363"/>
        <v>0</v>
      </c>
      <c r="L209" s="80">
        <f t="shared" si="363"/>
        <v>12482518.132252501</v>
      </c>
      <c r="N209" s="80">
        <f t="shared" ref="N209:R209" si="364">N207+N194+N171+N159+N149+N141+N132+N125+N116+N109</f>
        <v>22747339.204260003</v>
      </c>
      <c r="O209" s="80">
        <f t="shared" si="364"/>
        <v>2916876.5777249997</v>
      </c>
      <c r="P209" s="80">
        <f t="shared" si="364"/>
        <v>1821633.4</v>
      </c>
      <c r="Q209" s="80">
        <f t="shared" si="364"/>
        <v>0</v>
      </c>
      <c r="R209" s="80">
        <f t="shared" si="364"/>
        <v>27485849.181985002</v>
      </c>
      <c r="T209" s="80">
        <f t="shared" ref="T209:X209" si="365">T207+T194+T171+T159+T149+T141+T132+T125+T116+T109</f>
        <v>4046601.2780250004</v>
      </c>
      <c r="U209" s="80">
        <f t="shared" si="365"/>
        <v>594100.19999999995</v>
      </c>
      <c r="V209" s="80">
        <f t="shared" si="365"/>
        <v>401847.07500000001</v>
      </c>
      <c r="W209" s="80">
        <f t="shared" si="365"/>
        <v>0</v>
      </c>
      <c r="X209" s="80">
        <f t="shared" si="365"/>
        <v>5042548.5530250007</v>
      </c>
      <c r="Y209" s="199"/>
      <c r="Z209" s="80">
        <f t="shared" ref="Z209:AD209" si="366">Z207+Z194+Z171+Z159+Z149+Z141+Z132+Z125+Z116+Z109</f>
        <v>4696204.7870399999</v>
      </c>
      <c r="AA209" s="80">
        <f t="shared" si="366"/>
        <v>607338.125</v>
      </c>
      <c r="AB209" s="80">
        <f t="shared" si="366"/>
        <v>554229.75</v>
      </c>
      <c r="AC209" s="80">
        <f t="shared" si="366"/>
        <v>0</v>
      </c>
      <c r="AD209" s="80">
        <f t="shared" si="366"/>
        <v>5857772.6620399999</v>
      </c>
      <c r="AE209" s="199"/>
      <c r="AF209" s="80">
        <f t="shared" ref="AF209:AJ209" si="367">AF207+AF194+AF171+AF159+AF149+AF141+AF132+AF125+AF116+AF109</f>
        <v>5534637.8769999994</v>
      </c>
      <c r="AG209" s="80">
        <f t="shared" si="367"/>
        <v>778543.9</v>
      </c>
      <c r="AH209" s="80">
        <f t="shared" si="367"/>
        <v>860689.5</v>
      </c>
      <c r="AI209" s="80">
        <f t="shared" si="367"/>
        <v>0</v>
      </c>
      <c r="AJ209" s="80">
        <f t="shared" si="367"/>
        <v>7173871.2769999998</v>
      </c>
      <c r="AL209" s="80">
        <f t="shared" ref="AL209:AP209" si="368">AL207+AL194+AL171+AL159+AL149+AL141+AL132+AL125+AL116+AL109</f>
        <v>531503.48172500008</v>
      </c>
      <c r="AM209" s="80">
        <f t="shared" si="368"/>
        <v>463541.01858749997</v>
      </c>
      <c r="AN209" s="80">
        <f t="shared" si="368"/>
        <v>104535.703671875</v>
      </c>
      <c r="AO209" s="80">
        <f t="shared" si="368"/>
        <v>1993737.5</v>
      </c>
      <c r="AP209" s="80">
        <f t="shared" si="368"/>
        <v>3093317.7039843751</v>
      </c>
      <c r="AR209" s="80">
        <f t="shared" ref="AR209:AV209" si="369">AR207+AR194+AR171+AR159+AR149+AR141+AR132+AR125+AR116+AR109</f>
        <v>58269116.608057134</v>
      </c>
      <c r="AS209" s="80">
        <f t="shared" si="369"/>
        <v>7775338.6039625015</v>
      </c>
      <c r="AT209" s="80">
        <f t="shared" si="369"/>
        <v>5966178.3286718754</v>
      </c>
      <c r="AU209" s="80">
        <f t="shared" si="369"/>
        <v>1993737.5</v>
      </c>
      <c r="AV209" s="80">
        <f t="shared" si="369"/>
        <v>74004371.040691495</v>
      </c>
    </row>
    <row r="210" spans="1:48" ht="16.5" thickBot="1" x14ac:dyDescent="0.3">
      <c r="B210" s="77"/>
      <c r="C210" s="77"/>
      <c r="D210" s="77"/>
      <c r="E210" s="77"/>
      <c r="F210" s="77"/>
      <c r="H210" s="77"/>
      <c r="I210" s="77"/>
      <c r="J210" s="77"/>
      <c r="K210" s="77"/>
      <c r="L210" s="77"/>
      <c r="N210" s="77"/>
      <c r="O210" s="77"/>
      <c r="P210" s="77"/>
      <c r="Q210" s="77"/>
      <c r="R210" s="77"/>
      <c r="T210" s="77"/>
      <c r="U210" s="77"/>
      <c r="V210" s="77"/>
      <c r="W210" s="77"/>
      <c r="X210" s="77"/>
      <c r="Y210" s="79"/>
      <c r="Z210" s="77"/>
      <c r="AA210" s="77"/>
      <c r="AB210" s="77"/>
      <c r="AC210" s="77"/>
      <c r="AD210" s="77"/>
      <c r="AE210" s="79"/>
      <c r="AF210" s="77"/>
      <c r="AG210" s="77"/>
      <c r="AH210" s="77"/>
      <c r="AI210" s="77"/>
      <c r="AJ210" s="77"/>
      <c r="AL210" s="57"/>
      <c r="AM210" s="57"/>
      <c r="AN210" s="57"/>
      <c r="AO210" s="57"/>
      <c r="AP210" s="77"/>
      <c r="AR210" s="57"/>
      <c r="AS210" s="57"/>
      <c r="AT210" s="57"/>
      <c r="AU210" s="57"/>
      <c r="AV210" s="77"/>
    </row>
    <row r="211" spans="1:48" ht="16.5" thickBot="1" x14ac:dyDescent="0.3">
      <c r="A211" s="36"/>
      <c r="B211" s="81"/>
      <c r="C211" s="81"/>
      <c r="D211" s="81"/>
      <c r="E211" s="81"/>
      <c r="F211" s="81"/>
      <c r="H211" s="81"/>
      <c r="I211" s="81"/>
      <c r="J211" s="81"/>
      <c r="K211" s="81"/>
      <c r="L211" s="81"/>
      <c r="N211" s="81"/>
      <c r="O211" s="81"/>
      <c r="P211" s="81"/>
      <c r="Q211" s="81"/>
      <c r="R211" s="81"/>
      <c r="T211" s="81"/>
      <c r="U211" s="81"/>
      <c r="V211" s="81"/>
      <c r="W211" s="81"/>
      <c r="X211" s="81"/>
      <c r="Y211" s="194"/>
      <c r="Z211" s="81"/>
      <c r="AA211" s="81"/>
      <c r="AB211" s="81"/>
      <c r="AC211" s="81"/>
      <c r="AD211" s="81"/>
      <c r="AE211" s="194"/>
      <c r="AF211" s="81"/>
      <c r="AG211" s="81"/>
      <c r="AH211" s="81"/>
      <c r="AI211" s="81"/>
      <c r="AJ211" s="81"/>
      <c r="AL211" s="81"/>
      <c r="AM211" s="81"/>
      <c r="AN211" s="81"/>
      <c r="AO211" s="81"/>
      <c r="AP211" s="81"/>
      <c r="AR211" s="81"/>
      <c r="AS211" s="81"/>
      <c r="AT211" s="81"/>
      <c r="AU211" s="81"/>
      <c r="AV211" s="81"/>
    </row>
    <row r="212" spans="1:48" x14ac:dyDescent="0.25">
      <c r="A212" s="37" t="s">
        <v>153</v>
      </c>
      <c r="B212" s="82">
        <v>0</v>
      </c>
      <c r="C212" s="82"/>
      <c r="D212" s="82"/>
      <c r="E212" s="82"/>
      <c r="F212" s="82">
        <f>SUM(B212:E212)</f>
        <v>0</v>
      </c>
      <c r="H212" s="82">
        <v>0</v>
      </c>
      <c r="I212" s="82"/>
      <c r="J212" s="82"/>
      <c r="K212" s="82"/>
      <c r="L212" s="82">
        <f>SUM(H212:K212)</f>
        <v>0</v>
      </c>
      <c r="N212" s="82">
        <v>0</v>
      </c>
      <c r="O212" s="82"/>
      <c r="P212" s="82"/>
      <c r="Q212" s="82"/>
      <c r="R212" s="82">
        <f>SUM(N212:Q212)</f>
        <v>0</v>
      </c>
      <c r="T212" s="82">
        <v>0</v>
      </c>
      <c r="U212" s="82"/>
      <c r="V212" s="82"/>
      <c r="W212" s="82"/>
      <c r="X212" s="82">
        <f>SUM(T212:W212)</f>
        <v>0</v>
      </c>
      <c r="Y212" s="194"/>
      <c r="Z212" s="82">
        <v>1300000</v>
      </c>
      <c r="AA212" s="82"/>
      <c r="AB212" s="82"/>
      <c r="AC212" s="82"/>
      <c r="AD212" s="82">
        <f>SUM(Z212:AC212)</f>
        <v>1300000</v>
      </c>
      <c r="AE212" s="194"/>
      <c r="AF212" s="82">
        <v>1650000</v>
      </c>
      <c r="AG212" s="82"/>
      <c r="AH212" s="82"/>
      <c r="AI212" s="82"/>
      <c r="AJ212" s="82">
        <f>SUM(AF212:AI212)</f>
        <v>1650000</v>
      </c>
      <c r="AL212" s="82"/>
      <c r="AM212" s="82"/>
      <c r="AN212" s="82"/>
      <c r="AO212" s="82"/>
      <c r="AP212" s="82">
        <f>SUM(AL212:AO212)</f>
        <v>0</v>
      </c>
      <c r="AR212" s="82">
        <f>B212+H212+N212+T212+AL212+AF212+Z212</f>
        <v>2950000</v>
      </c>
      <c r="AS212" s="82">
        <f t="shared" ref="AS212:AU215" si="370">C212+I212+O212+U212+AM212+AG212+AA212</f>
        <v>0</v>
      </c>
      <c r="AT212" s="82">
        <f t="shared" si="370"/>
        <v>0</v>
      </c>
      <c r="AU212" s="82">
        <f t="shared" si="370"/>
        <v>0</v>
      </c>
      <c r="AV212" s="82">
        <f>SUM(AR212:AU212)</f>
        <v>2950000</v>
      </c>
    </row>
    <row r="213" spans="1:48" x14ac:dyDescent="0.25">
      <c r="A213" s="38" t="s">
        <v>154</v>
      </c>
      <c r="B213" s="83">
        <v>327500</v>
      </c>
      <c r="C213" s="83"/>
      <c r="D213" s="83"/>
      <c r="E213" s="83"/>
      <c r="F213" s="82">
        <f t="shared" ref="F213:F215" si="371">SUM(B213:E213)</f>
        <v>327500</v>
      </c>
      <c r="H213" s="83">
        <v>317500</v>
      </c>
      <c r="I213" s="83"/>
      <c r="J213" s="83"/>
      <c r="K213" s="83"/>
      <c r="L213" s="82">
        <f t="shared" ref="L213:L215" si="372">SUM(H213:K213)</f>
        <v>317500</v>
      </c>
      <c r="N213" s="83">
        <v>932500</v>
      </c>
      <c r="O213" s="83"/>
      <c r="P213" s="83"/>
      <c r="Q213" s="83"/>
      <c r="R213" s="82">
        <f t="shared" ref="R213:R215" si="373">SUM(N213:Q213)</f>
        <v>932500</v>
      </c>
      <c r="T213" s="83">
        <v>160000</v>
      </c>
      <c r="U213" s="83"/>
      <c r="V213" s="83"/>
      <c r="W213" s="83"/>
      <c r="X213" s="82">
        <f t="shared" ref="X213:X215" si="374">SUM(T213:W213)</f>
        <v>160000</v>
      </c>
      <c r="Y213" s="194"/>
      <c r="Z213" s="83"/>
      <c r="AA213" s="83"/>
      <c r="AB213" s="83"/>
      <c r="AC213" s="83"/>
      <c r="AD213" s="82">
        <f t="shared" ref="AD213:AD215" si="375">SUM(Z213:AC213)</f>
        <v>0</v>
      </c>
      <c r="AE213" s="194"/>
      <c r="AF213" s="83"/>
      <c r="AG213" s="83"/>
      <c r="AH213" s="83"/>
      <c r="AI213" s="83"/>
      <c r="AJ213" s="82">
        <f t="shared" ref="AJ213:AJ215" si="376">SUM(AF213:AI213)</f>
        <v>0</v>
      </c>
      <c r="AL213" s="83"/>
      <c r="AM213" s="83"/>
      <c r="AN213" s="83"/>
      <c r="AO213" s="83"/>
      <c r="AP213" s="82">
        <f t="shared" ref="AP213:AP215" si="377">SUM(AL213:AO213)</f>
        <v>0</v>
      </c>
      <c r="AR213" s="82">
        <f t="shared" ref="AR213:AR215" si="378">B213+H213+N213+T213+AL213+AF213+Z213</f>
        <v>1737500</v>
      </c>
      <c r="AS213" s="82">
        <f t="shared" si="370"/>
        <v>0</v>
      </c>
      <c r="AT213" s="82">
        <f t="shared" si="370"/>
        <v>0</v>
      </c>
      <c r="AU213" s="82">
        <f t="shared" si="370"/>
        <v>0</v>
      </c>
      <c r="AV213" s="82">
        <f t="shared" ref="AV213:AV215" si="379">SUM(AR213:AU213)</f>
        <v>1737500</v>
      </c>
    </row>
    <row r="214" spans="1:48" x14ac:dyDescent="0.25">
      <c r="A214" s="38" t="s">
        <v>155</v>
      </c>
      <c r="B214" s="83">
        <v>690038</v>
      </c>
      <c r="C214" s="83"/>
      <c r="D214" s="83"/>
      <c r="E214" s="83"/>
      <c r="F214" s="82">
        <f t="shared" si="371"/>
        <v>690038</v>
      </c>
      <c r="H214" s="83">
        <v>665800</v>
      </c>
      <c r="I214" s="83"/>
      <c r="J214" s="83"/>
      <c r="K214" s="83"/>
      <c r="L214" s="82">
        <f t="shared" si="372"/>
        <v>665800</v>
      </c>
      <c r="N214" s="83">
        <v>2685500</v>
      </c>
      <c r="O214" s="83"/>
      <c r="P214" s="83"/>
      <c r="Q214" s="83"/>
      <c r="R214" s="82">
        <f t="shared" si="373"/>
        <v>2685500</v>
      </c>
      <c r="T214" s="83">
        <v>1097438</v>
      </c>
      <c r="U214" s="83"/>
      <c r="V214" s="83"/>
      <c r="W214" s="83"/>
      <c r="X214" s="82">
        <f t="shared" si="374"/>
        <v>1097438</v>
      </c>
      <c r="Y214" s="194"/>
      <c r="Z214" s="83"/>
      <c r="AA214" s="83"/>
      <c r="AB214" s="83"/>
      <c r="AC214" s="83"/>
      <c r="AD214" s="82">
        <f t="shared" si="375"/>
        <v>0</v>
      </c>
      <c r="AE214" s="194"/>
      <c r="AF214" s="83"/>
      <c r="AG214" s="83"/>
      <c r="AH214" s="83"/>
      <c r="AI214" s="83"/>
      <c r="AJ214" s="82">
        <f t="shared" si="376"/>
        <v>0</v>
      </c>
      <c r="AL214" s="83"/>
      <c r="AM214" s="83"/>
      <c r="AN214" s="83"/>
      <c r="AO214" s="83"/>
      <c r="AP214" s="82">
        <f t="shared" si="377"/>
        <v>0</v>
      </c>
      <c r="AR214" s="82">
        <f t="shared" si="378"/>
        <v>5138776</v>
      </c>
      <c r="AS214" s="82">
        <f t="shared" si="370"/>
        <v>0</v>
      </c>
      <c r="AT214" s="82">
        <f t="shared" si="370"/>
        <v>0</v>
      </c>
      <c r="AU214" s="82">
        <f t="shared" si="370"/>
        <v>0</v>
      </c>
      <c r="AV214" s="82">
        <f t="shared" si="379"/>
        <v>5138776</v>
      </c>
    </row>
    <row r="215" spans="1:48" x14ac:dyDescent="0.25">
      <c r="A215" s="39" t="s">
        <v>156</v>
      </c>
      <c r="B215" s="84">
        <v>0</v>
      </c>
      <c r="C215" s="84"/>
      <c r="D215" s="84"/>
      <c r="E215" s="84"/>
      <c r="F215" s="82">
        <f t="shared" si="371"/>
        <v>0</v>
      </c>
      <c r="H215" s="84">
        <v>0</v>
      </c>
      <c r="I215" s="84"/>
      <c r="J215" s="84"/>
      <c r="K215" s="84"/>
      <c r="L215" s="82">
        <f t="shared" si="372"/>
        <v>0</v>
      </c>
      <c r="N215" s="84">
        <v>0</v>
      </c>
      <c r="O215" s="84"/>
      <c r="P215" s="84"/>
      <c r="Q215" s="84"/>
      <c r="R215" s="82">
        <f t="shared" si="373"/>
        <v>0</v>
      </c>
      <c r="T215" s="84">
        <v>0</v>
      </c>
      <c r="U215" s="84"/>
      <c r="V215" s="84"/>
      <c r="W215" s="84"/>
      <c r="X215" s="82">
        <f t="shared" si="374"/>
        <v>0</v>
      </c>
      <c r="Y215" s="194"/>
      <c r="Z215" s="84">
        <v>0</v>
      </c>
      <c r="AA215" s="84"/>
      <c r="AB215" s="84"/>
      <c r="AC215" s="84"/>
      <c r="AD215" s="82">
        <f t="shared" si="375"/>
        <v>0</v>
      </c>
      <c r="AE215" s="194"/>
      <c r="AF215" s="84">
        <v>0</v>
      </c>
      <c r="AG215" s="84"/>
      <c r="AH215" s="84"/>
      <c r="AI215" s="84"/>
      <c r="AJ215" s="82">
        <f t="shared" si="376"/>
        <v>0</v>
      </c>
      <c r="AL215" s="84"/>
      <c r="AM215" s="84"/>
      <c r="AN215" s="84"/>
      <c r="AO215" s="84"/>
      <c r="AP215" s="82">
        <f t="shared" si="377"/>
        <v>0</v>
      </c>
      <c r="AR215" s="82">
        <f t="shared" si="378"/>
        <v>0</v>
      </c>
      <c r="AS215" s="82">
        <f t="shared" si="370"/>
        <v>0</v>
      </c>
      <c r="AT215" s="82">
        <f t="shared" si="370"/>
        <v>0</v>
      </c>
      <c r="AU215" s="82">
        <f t="shared" si="370"/>
        <v>0</v>
      </c>
      <c r="AV215" s="82">
        <f t="shared" si="379"/>
        <v>0</v>
      </c>
    </row>
    <row r="216" spans="1:48" x14ac:dyDescent="0.25">
      <c r="A216" s="27"/>
      <c r="B216" s="76">
        <f>SUM(B212:B215)</f>
        <v>1017538</v>
      </c>
      <c r="C216" s="76">
        <f t="shared" ref="C216:F216" si="380">SUM(C212:C215)</f>
        <v>0</v>
      </c>
      <c r="D216" s="76">
        <f t="shared" si="380"/>
        <v>0</v>
      </c>
      <c r="E216" s="76">
        <f t="shared" si="380"/>
        <v>0</v>
      </c>
      <c r="F216" s="76">
        <f t="shared" si="380"/>
        <v>1017538</v>
      </c>
      <c r="H216" s="76">
        <f>SUM(H212:H215)</f>
        <v>983300</v>
      </c>
      <c r="I216" s="76">
        <f t="shared" ref="I216:L216" si="381">SUM(I212:I215)</f>
        <v>0</v>
      </c>
      <c r="J216" s="76">
        <f t="shared" si="381"/>
        <v>0</v>
      </c>
      <c r="K216" s="76">
        <f t="shared" si="381"/>
        <v>0</v>
      </c>
      <c r="L216" s="76">
        <f t="shared" si="381"/>
        <v>983300</v>
      </c>
      <c r="N216" s="76">
        <f>SUM(N212:N215)</f>
        <v>3618000</v>
      </c>
      <c r="O216" s="76">
        <f t="shared" ref="O216:R216" si="382">SUM(O212:O215)</f>
        <v>0</v>
      </c>
      <c r="P216" s="76">
        <f t="shared" si="382"/>
        <v>0</v>
      </c>
      <c r="Q216" s="76">
        <f t="shared" si="382"/>
        <v>0</v>
      </c>
      <c r="R216" s="76">
        <f t="shared" si="382"/>
        <v>3618000</v>
      </c>
      <c r="T216" s="76">
        <f t="shared" ref="T216:X216" si="383">SUM(T212:T215)</f>
        <v>1257438</v>
      </c>
      <c r="U216" s="76">
        <f t="shared" si="383"/>
        <v>0</v>
      </c>
      <c r="V216" s="76">
        <f t="shared" si="383"/>
        <v>0</v>
      </c>
      <c r="W216" s="76">
        <f t="shared" si="383"/>
        <v>0</v>
      </c>
      <c r="X216" s="76">
        <f t="shared" si="383"/>
        <v>1257438</v>
      </c>
      <c r="Y216" s="199"/>
      <c r="Z216" s="76">
        <f t="shared" ref="Z216:AD216" si="384">SUM(Z212:Z215)</f>
        <v>1300000</v>
      </c>
      <c r="AA216" s="76">
        <f t="shared" si="384"/>
        <v>0</v>
      </c>
      <c r="AB216" s="76">
        <f t="shared" si="384"/>
        <v>0</v>
      </c>
      <c r="AC216" s="76">
        <f t="shared" si="384"/>
        <v>0</v>
      </c>
      <c r="AD216" s="76">
        <f t="shared" si="384"/>
        <v>1300000</v>
      </c>
      <c r="AE216" s="199"/>
      <c r="AF216" s="76">
        <f t="shared" ref="AF216:AJ216" si="385">SUM(AF212:AF215)</f>
        <v>1650000</v>
      </c>
      <c r="AG216" s="76">
        <f t="shared" si="385"/>
        <v>0</v>
      </c>
      <c r="AH216" s="76">
        <f t="shared" si="385"/>
        <v>0</v>
      </c>
      <c r="AI216" s="76">
        <f t="shared" si="385"/>
        <v>0</v>
      </c>
      <c r="AJ216" s="76">
        <f t="shared" si="385"/>
        <v>1650000</v>
      </c>
      <c r="AL216" s="76">
        <f>SUM(AL212:AL215)</f>
        <v>0</v>
      </c>
      <c r="AM216" s="76">
        <f t="shared" ref="AM216:AP216" si="386">SUM(AM212:AM215)</f>
        <v>0</v>
      </c>
      <c r="AN216" s="76">
        <f t="shared" si="386"/>
        <v>0</v>
      </c>
      <c r="AO216" s="76">
        <f t="shared" si="386"/>
        <v>0</v>
      </c>
      <c r="AP216" s="76">
        <f t="shared" si="386"/>
        <v>0</v>
      </c>
      <c r="AR216" s="76">
        <f>SUM(AR212:AR215)</f>
        <v>9826276</v>
      </c>
      <c r="AS216" s="76">
        <f t="shared" ref="AS216:AV216" si="387">SUM(AS212:AS215)</f>
        <v>0</v>
      </c>
      <c r="AT216" s="76">
        <f t="shared" si="387"/>
        <v>0</v>
      </c>
      <c r="AU216" s="76">
        <f t="shared" si="387"/>
        <v>0</v>
      </c>
      <c r="AV216" s="76">
        <f t="shared" si="387"/>
        <v>9826276</v>
      </c>
    </row>
    <row r="217" spans="1:48" ht="16.5" thickBot="1" x14ac:dyDescent="0.3">
      <c r="B217" s="77"/>
      <c r="C217" s="77"/>
      <c r="D217" s="77"/>
      <c r="E217" s="77"/>
      <c r="F217" s="77"/>
      <c r="H217" s="77"/>
      <c r="I217" s="77"/>
      <c r="J217" s="77"/>
      <c r="K217" s="77"/>
      <c r="L217" s="77"/>
      <c r="N217" s="77"/>
      <c r="O217" s="77"/>
      <c r="P217" s="77"/>
      <c r="Q217" s="77"/>
      <c r="R217" s="77"/>
      <c r="T217" s="77"/>
      <c r="U217" s="77"/>
      <c r="V217" s="77"/>
      <c r="W217" s="77"/>
      <c r="X217" s="77"/>
      <c r="Y217" s="79"/>
      <c r="Z217" s="77"/>
      <c r="AA217" s="77"/>
      <c r="AB217" s="77"/>
      <c r="AC217" s="77"/>
      <c r="AD217" s="77"/>
      <c r="AE217" s="79"/>
      <c r="AF217" s="77"/>
      <c r="AG217" s="77"/>
      <c r="AH217" s="77"/>
      <c r="AI217" s="77"/>
      <c r="AJ217" s="77"/>
      <c r="AL217" s="77"/>
      <c r="AM217" s="77"/>
      <c r="AN217" s="77"/>
      <c r="AO217" s="77"/>
      <c r="AP217" s="77"/>
      <c r="AR217" s="77"/>
      <c r="AS217" s="77"/>
      <c r="AT217" s="77"/>
      <c r="AU217" s="77"/>
      <c r="AV217" s="77"/>
    </row>
    <row r="218" spans="1:48" ht="16.5" thickBot="1" x14ac:dyDescent="0.3">
      <c r="A218" s="40"/>
      <c r="B218" s="85">
        <f t="shared" ref="B218:F218" si="388">(B82+B88)-(B216+B209)</f>
        <v>551998.62342037261</v>
      </c>
      <c r="C218" s="85">
        <f t="shared" si="388"/>
        <v>-347628.55382500007</v>
      </c>
      <c r="D218" s="85">
        <f t="shared" si="388"/>
        <v>-39170.998300000094</v>
      </c>
      <c r="E218" s="85">
        <f t="shared" si="388"/>
        <v>0</v>
      </c>
      <c r="F218" s="85">
        <f t="shared" si="388"/>
        <v>165199.071295375</v>
      </c>
      <c r="H218" s="85">
        <f t="shared" ref="H218:L218" si="389">(H82+H88)-(H216+H209)</f>
        <v>687878.59657249786</v>
      </c>
      <c r="I218" s="85">
        <f t="shared" si="389"/>
        <v>-255288.22882500011</v>
      </c>
      <c r="J218" s="85">
        <f t="shared" si="389"/>
        <v>-64345.14850000001</v>
      </c>
      <c r="K218" s="85">
        <f t="shared" si="389"/>
        <v>0</v>
      </c>
      <c r="L218" s="85">
        <f t="shared" si="389"/>
        <v>368245.21924749762</v>
      </c>
      <c r="N218" s="85">
        <f t="shared" ref="N218:Q218" si="390">(N82+N88)-(N216+N209)</f>
        <v>1757846.5957399979</v>
      </c>
      <c r="O218" s="85">
        <f t="shared" si="390"/>
        <v>-724635.57772499975</v>
      </c>
      <c r="P218" s="85">
        <f t="shared" si="390"/>
        <v>-334861.49799999991</v>
      </c>
      <c r="Q218" s="85">
        <f t="shared" si="390"/>
        <v>0</v>
      </c>
      <c r="R218" s="85">
        <f>(R82+R88)-(R216+R209)</f>
        <v>698349.52001499757</v>
      </c>
      <c r="T218" s="85">
        <f t="shared" ref="T218:X218" si="391">(T82+T88)-(T216+T209)</f>
        <v>335841.92197499983</v>
      </c>
      <c r="U218" s="85">
        <f t="shared" si="391"/>
        <v>-302980.19999999995</v>
      </c>
      <c r="V218" s="85">
        <f t="shared" si="391"/>
        <v>46622.925000000047</v>
      </c>
      <c r="W218" s="85">
        <f t="shared" si="391"/>
        <v>0</v>
      </c>
      <c r="X218" s="85">
        <f t="shared" si="391"/>
        <v>79484.646974999458</v>
      </c>
      <c r="Y218" s="199"/>
      <c r="Z218" s="85">
        <f t="shared" ref="Z218:AD218" si="392">(Z82+Z88)-(Z216+Z209)</f>
        <v>619989.21296000015</v>
      </c>
      <c r="AA218" s="85">
        <f t="shared" si="392"/>
        <v>-364788.125</v>
      </c>
      <c r="AB218" s="85">
        <f t="shared" si="392"/>
        <v>-29529.75</v>
      </c>
      <c r="AC218" s="85">
        <f t="shared" si="392"/>
        <v>0</v>
      </c>
      <c r="AD218" s="85">
        <f t="shared" si="392"/>
        <v>225671.33796000015</v>
      </c>
      <c r="AE218" s="199"/>
      <c r="AF218" s="85">
        <f t="shared" ref="AF218:AJ218" si="393">(AF82+AF88)-(AF216+AF209)</f>
        <v>365762.1230000006</v>
      </c>
      <c r="AG218" s="85">
        <f t="shared" si="393"/>
        <v>-688198.9</v>
      </c>
      <c r="AH218" s="85">
        <f t="shared" si="393"/>
        <v>-59239.5</v>
      </c>
      <c r="AI218" s="85">
        <f t="shared" si="393"/>
        <v>0</v>
      </c>
      <c r="AJ218" s="85">
        <f t="shared" si="393"/>
        <v>-381676.27699999884</v>
      </c>
      <c r="AL218" s="85">
        <f t="shared" ref="AL218:AP218" si="394">(AL82+AL88)-(AL216+AL209)</f>
        <v>-531503.48172500008</v>
      </c>
      <c r="AM218" s="85">
        <f t="shared" si="394"/>
        <v>-463541.01858749997</v>
      </c>
      <c r="AN218" s="85">
        <f t="shared" si="394"/>
        <v>-104535.703671875</v>
      </c>
      <c r="AO218" s="85">
        <f t="shared" si="394"/>
        <v>-415.5</v>
      </c>
      <c r="AP218" s="85">
        <f t="shared" si="394"/>
        <v>-1099995.7039843751</v>
      </c>
      <c r="AR218" s="85">
        <f t="shared" ref="AR218:AV218" si="395">(AR82+AR88)-(AR216+AR209)</f>
        <v>3787813.5919428617</v>
      </c>
      <c r="AS218" s="85">
        <f t="shared" si="395"/>
        <v>-3147060.6039625015</v>
      </c>
      <c r="AT218" s="85">
        <f t="shared" si="395"/>
        <v>-585059.67347187456</v>
      </c>
      <c r="AU218" s="85">
        <f t="shared" si="395"/>
        <v>-415.5</v>
      </c>
      <c r="AV218" s="85">
        <f t="shared" si="395"/>
        <v>55277.814508512616</v>
      </c>
    </row>
    <row r="219" spans="1:48" x14ac:dyDescent="0.25">
      <c r="B219" s="77"/>
      <c r="C219" s="77"/>
      <c r="D219" s="77"/>
      <c r="E219" s="77"/>
      <c r="F219" s="77"/>
      <c r="H219" s="77"/>
      <c r="I219" s="77"/>
      <c r="J219" s="77"/>
      <c r="K219" s="77"/>
      <c r="L219" s="77"/>
      <c r="N219" s="77"/>
      <c r="O219" s="77"/>
      <c r="P219" s="77"/>
      <c r="Q219" s="77"/>
      <c r="R219" s="77"/>
      <c r="T219" s="77"/>
      <c r="U219" s="77"/>
      <c r="V219" s="77"/>
      <c r="W219" s="77"/>
      <c r="X219" s="77"/>
      <c r="Y219" s="79"/>
      <c r="Z219" s="77"/>
      <c r="AA219" s="77"/>
      <c r="AB219" s="77"/>
      <c r="AC219" s="77"/>
      <c r="AD219" s="77"/>
      <c r="AE219" s="79"/>
      <c r="AF219" s="77"/>
      <c r="AG219" s="77"/>
      <c r="AH219" s="77"/>
      <c r="AI219" s="77"/>
      <c r="AJ219" s="77"/>
      <c r="AL219" s="77"/>
      <c r="AM219" s="77"/>
      <c r="AN219" s="77"/>
      <c r="AO219" s="77"/>
      <c r="AP219" s="77"/>
      <c r="AR219" s="77"/>
      <c r="AS219" s="77"/>
      <c r="AT219" s="77"/>
      <c r="AU219" s="77"/>
      <c r="AV219" s="77"/>
    </row>
    <row r="220" spans="1:48" x14ac:dyDescent="0.25">
      <c r="A220" s="41" t="str">
        <f>A1</f>
        <v>Mater Academy - System</v>
      </c>
      <c r="B220" s="86" t="str">
        <f t="shared" ref="B220:F220" si="396">B20</f>
        <v>Operating</v>
      </c>
      <c r="C220" s="86" t="str">
        <f t="shared" si="396"/>
        <v>SPED</v>
      </c>
      <c r="D220" s="86" t="str">
        <f t="shared" si="396"/>
        <v>NSLP</v>
      </c>
      <c r="E220" s="86" t="str">
        <f t="shared" si="396"/>
        <v>Other</v>
      </c>
      <c r="F220" s="86" t="str">
        <f t="shared" si="396"/>
        <v>FY28- Mtn</v>
      </c>
      <c r="H220" s="86" t="str">
        <f t="shared" ref="H220:L220" si="397">H20</f>
        <v>Operating</v>
      </c>
      <c r="I220" s="86" t="str">
        <f t="shared" si="397"/>
        <v>SPED</v>
      </c>
      <c r="J220" s="86" t="str">
        <f t="shared" si="397"/>
        <v>NSLP</v>
      </c>
      <c r="K220" s="86" t="str">
        <f t="shared" si="397"/>
        <v>Other</v>
      </c>
      <c r="L220" s="86" t="str">
        <f t="shared" si="397"/>
        <v>FY28- Bon</v>
      </c>
      <c r="N220" s="86" t="str">
        <f t="shared" ref="N220:R220" si="398">N20</f>
        <v>Operating</v>
      </c>
      <c r="O220" s="86" t="str">
        <f t="shared" si="398"/>
        <v>SPED</v>
      </c>
      <c r="P220" s="86" t="str">
        <f t="shared" si="398"/>
        <v>NSLP</v>
      </c>
      <c r="Q220" s="86" t="str">
        <f t="shared" si="398"/>
        <v>Other</v>
      </c>
      <c r="R220" s="86" t="str">
        <f t="shared" si="398"/>
        <v>FY28- East</v>
      </c>
      <c r="T220" s="86" t="str">
        <f t="shared" ref="T220:X220" si="399">T20</f>
        <v>Operating</v>
      </c>
      <c r="U220" s="86" t="str">
        <f t="shared" si="399"/>
        <v>SPED</v>
      </c>
      <c r="V220" s="86" t="str">
        <f t="shared" si="399"/>
        <v>NSLP</v>
      </c>
      <c r="W220" s="86" t="str">
        <f t="shared" si="399"/>
        <v>Other</v>
      </c>
      <c r="X220" s="86" t="str">
        <f t="shared" si="399"/>
        <v>FY28- Cactus</v>
      </c>
      <c r="Y220" s="202"/>
      <c r="Z220" s="86" t="str">
        <f t="shared" ref="Z220:AD220" si="400">Z20</f>
        <v>Operating</v>
      </c>
      <c r="AA220" s="86" t="str">
        <f t="shared" si="400"/>
        <v>SPED</v>
      </c>
      <c r="AB220" s="86" t="str">
        <f t="shared" si="400"/>
        <v>NSLP</v>
      </c>
      <c r="AC220" s="86" t="str">
        <f t="shared" si="400"/>
        <v>Other</v>
      </c>
      <c r="AD220" s="86" t="str">
        <f t="shared" si="400"/>
        <v>FY28- Sahara</v>
      </c>
      <c r="AE220" s="202"/>
      <c r="AF220" s="86" t="str">
        <f t="shared" ref="AF220:AJ220" si="401">AF20</f>
        <v>Operating</v>
      </c>
      <c r="AG220" s="86" t="str">
        <f t="shared" si="401"/>
        <v>SPED</v>
      </c>
      <c r="AH220" s="86" t="str">
        <f t="shared" si="401"/>
        <v>NSLP</v>
      </c>
      <c r="AI220" s="86" t="str">
        <f t="shared" si="401"/>
        <v>Other</v>
      </c>
      <c r="AJ220" s="86" t="str">
        <f t="shared" si="401"/>
        <v>FY27- VV</v>
      </c>
      <c r="AL220" s="86" t="str">
        <f t="shared" ref="AL220:AP220" si="402">AL20</f>
        <v>Operating</v>
      </c>
      <c r="AM220" s="86" t="str">
        <f t="shared" si="402"/>
        <v>SPED</v>
      </c>
      <c r="AN220" s="86" t="str">
        <f t="shared" si="402"/>
        <v>NSLP</v>
      </c>
      <c r="AO220" s="86" t="str">
        <f t="shared" si="402"/>
        <v>Grant</v>
      </c>
      <c r="AP220" s="86" t="str">
        <f t="shared" si="402"/>
        <v>FY28 - Central</v>
      </c>
      <c r="AR220" s="86" t="str">
        <f t="shared" ref="AR220:AV220" si="403">AR20</f>
        <v>Operating</v>
      </c>
      <c r="AS220" s="86" t="str">
        <f t="shared" si="403"/>
        <v>SPED</v>
      </c>
      <c r="AT220" s="86" t="str">
        <f t="shared" si="403"/>
        <v>NSLP</v>
      </c>
      <c r="AU220" s="86" t="str">
        <f t="shared" si="403"/>
        <v>Other</v>
      </c>
      <c r="AV220" s="86" t="str">
        <f t="shared" si="403"/>
        <v>FY28- Sys</v>
      </c>
    </row>
    <row r="221" spans="1:48" x14ac:dyDescent="0.25">
      <c r="H221" s="57"/>
      <c r="I221" s="57"/>
      <c r="J221" s="57"/>
      <c r="K221" s="57"/>
    </row>
    <row r="222" spans="1:48" x14ac:dyDescent="0.25">
      <c r="Z222" s="220">
        <f>Z212/(Z82+AA82)</f>
        <v>0.18953907595909689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353F-1D4E-469F-9F23-122F51D97E39}">
  <dimension ref="A1:AW222"/>
  <sheetViews>
    <sheetView workbookViewId="0">
      <pane xSplit="1" topLeftCell="X1" activePane="topRight" state="frozen"/>
      <selection activeCell="T77" sqref="T77"/>
      <selection pane="topRight" activeCell="T194" sqref="T194"/>
    </sheetView>
  </sheetViews>
  <sheetFormatPr defaultRowHeight="15.75" x14ac:dyDescent="0.25"/>
  <cols>
    <col min="1" max="1" width="55.5703125" style="7" bestFit="1" customWidth="1"/>
    <col min="2" max="6" width="14.42578125" customWidth="1"/>
    <col min="8" max="12" width="15" customWidth="1"/>
    <col min="14" max="18" width="15.42578125" customWidth="1"/>
    <col min="19" max="19" width="8.7109375" customWidth="1"/>
    <col min="20" max="24" width="15.85546875" customWidth="1"/>
    <col min="25" max="25" width="8" customWidth="1"/>
    <col min="26" max="30" width="15.85546875" customWidth="1"/>
    <col min="31" max="31" width="4" customWidth="1"/>
    <col min="32" max="36" width="19.42578125" customWidth="1"/>
    <col min="38" max="42" width="16.42578125" customWidth="1"/>
    <col min="44" max="48" width="16.42578125" customWidth="1"/>
  </cols>
  <sheetData>
    <row r="1" spans="1:45" x14ac:dyDescent="0.25">
      <c r="A1" s="1" t="s">
        <v>0</v>
      </c>
      <c r="B1" s="1" t="s">
        <v>253</v>
      </c>
      <c r="H1" s="1" t="s">
        <v>255</v>
      </c>
      <c r="N1" s="1" t="s">
        <v>332</v>
      </c>
      <c r="O1" s="57"/>
      <c r="T1" s="1" t="s">
        <v>257</v>
      </c>
      <c r="U1" s="57"/>
      <c r="Z1" s="1" t="s">
        <v>330</v>
      </c>
      <c r="AA1" s="57"/>
      <c r="AF1" s="1" t="s">
        <v>303</v>
      </c>
      <c r="AG1" s="57"/>
      <c r="AL1" s="1" t="s">
        <v>259</v>
      </c>
      <c r="AM1" s="57"/>
      <c r="AR1" s="1" t="s">
        <v>334</v>
      </c>
      <c r="AS1" s="57"/>
    </row>
    <row r="2" spans="1:45" x14ac:dyDescent="0.25">
      <c r="A2" s="2" t="s">
        <v>1</v>
      </c>
      <c r="B2" s="42">
        <v>9825</v>
      </c>
      <c r="H2" s="42">
        <f>B2</f>
        <v>9825</v>
      </c>
      <c r="N2" s="42">
        <f>H2</f>
        <v>9825</v>
      </c>
      <c r="O2" s="57"/>
      <c r="T2" s="42">
        <f>N2</f>
        <v>9825</v>
      </c>
      <c r="U2" s="57"/>
      <c r="Z2" s="42">
        <f>T2</f>
        <v>9825</v>
      </c>
      <c r="AA2" s="57"/>
      <c r="AF2" s="42">
        <f>T2</f>
        <v>9825</v>
      </c>
      <c r="AG2" s="57"/>
      <c r="AL2" s="42">
        <f>T2</f>
        <v>9825</v>
      </c>
      <c r="AM2" s="57"/>
      <c r="AR2" s="42">
        <f>AL2</f>
        <v>9825</v>
      </c>
      <c r="AS2" s="57"/>
    </row>
    <row r="3" spans="1:45" x14ac:dyDescent="0.25">
      <c r="A3" s="3" t="s">
        <v>2</v>
      </c>
      <c r="B3" s="43">
        <f>B4+B5+B6+B7+B8+B9+B10+B11+B12+B13+B14+B15+B16</f>
        <v>1028</v>
      </c>
      <c r="H3" s="43">
        <f>H4+H5+H6+H7+H8+H9+H10+H11+H12+H13+H14+H15+H16</f>
        <v>1028</v>
      </c>
      <c r="N3" s="43">
        <f>N4+N5+N6+N7+N8+N9+N10+N11+N12+N13+N14+N15+N16</f>
        <v>2511</v>
      </c>
      <c r="O3" s="90"/>
      <c r="T3" s="43">
        <f>T4+T5+T6+T7+T8+T9+T10+T11+T12+T13+T14+T15+T16</f>
        <v>537</v>
      </c>
      <c r="U3" s="90"/>
      <c r="Z3" s="43">
        <f>Z4+Z5+Z6+Z7+Z8+Z9+Z10+Z11+Z12+Z13+Z14+Z15+Z16</f>
        <v>883</v>
      </c>
      <c r="AA3" s="90"/>
      <c r="AF3" s="43">
        <f>AF4+AF5+AF6+AF7+AF8+AF9+AF10+AF11+AF12+AF13+AF14+AF15+AF16</f>
        <v>929</v>
      </c>
      <c r="AG3" s="90"/>
      <c r="AL3" s="43">
        <f>AL4+AL5+AL6+AL7+AL8+AL9+AL10+AL11+AL12+AL13+AL14+AL15+AL16</f>
        <v>0</v>
      </c>
      <c r="AM3" s="90"/>
      <c r="AR3" s="43">
        <f>AR4+AR5+AR6+AR7+AR8+AR9+AR10+AR11+AR12+AR13+AR14+AR15+AR16</f>
        <v>6916</v>
      </c>
      <c r="AS3" s="90"/>
    </row>
    <row r="4" spans="1:45" x14ac:dyDescent="0.25">
      <c r="A4" s="4" t="s">
        <v>3</v>
      </c>
      <c r="B4" s="44">
        <v>104</v>
      </c>
      <c r="C4" s="92">
        <v>4</v>
      </c>
      <c r="H4" s="44">
        <v>104</v>
      </c>
      <c r="I4" s="92">
        <v>4</v>
      </c>
      <c r="N4" s="45">
        <f>26*4</f>
        <v>104</v>
      </c>
      <c r="O4" s="92">
        <v>4</v>
      </c>
      <c r="P4" s="166"/>
      <c r="T4" s="44">
        <f>25*3</f>
        <v>75</v>
      </c>
      <c r="U4" s="92">
        <v>3</v>
      </c>
      <c r="Z4" s="44">
        <f>26*3</f>
        <v>78</v>
      </c>
      <c r="AA4" s="92">
        <v>3</v>
      </c>
      <c r="AF4" s="44">
        <v>104</v>
      </c>
      <c r="AG4" s="92">
        <v>4</v>
      </c>
      <c r="AL4" s="44"/>
      <c r="AM4" s="90"/>
      <c r="AR4" s="44">
        <f>B4+H4+N4+T4+AL4+AF4+Z4</f>
        <v>569</v>
      </c>
      <c r="AS4" s="90"/>
    </row>
    <row r="5" spans="1:45" x14ac:dyDescent="0.25">
      <c r="A5" s="3" t="s">
        <v>4</v>
      </c>
      <c r="B5" s="44">
        <v>111</v>
      </c>
      <c r="C5" s="92">
        <v>4</v>
      </c>
      <c r="H5" s="44">
        <v>111</v>
      </c>
      <c r="I5" s="92">
        <v>4</v>
      </c>
      <c r="N5" s="45">
        <v>111</v>
      </c>
      <c r="O5" s="92">
        <v>4</v>
      </c>
      <c r="P5" s="166"/>
      <c r="T5" s="44">
        <f>26*3</f>
        <v>78</v>
      </c>
      <c r="U5" s="92">
        <v>3</v>
      </c>
      <c r="Z5" s="44">
        <f t="shared" ref="Z5:Z6" si="0">26*3</f>
        <v>78</v>
      </c>
      <c r="AA5" s="92">
        <v>3</v>
      </c>
      <c r="AF5" s="44">
        <v>111</v>
      </c>
      <c r="AG5" s="92">
        <v>4</v>
      </c>
      <c r="AL5" s="44"/>
      <c r="AM5" s="90"/>
      <c r="AR5" s="44">
        <f t="shared" ref="AR5:AR16" si="1">B5+H5+N5+T5+AL5+AF5+Z5</f>
        <v>600</v>
      </c>
      <c r="AS5" s="90"/>
    </row>
    <row r="6" spans="1:45" x14ac:dyDescent="0.25">
      <c r="A6" s="3" t="s">
        <v>5</v>
      </c>
      <c r="B6" s="44">
        <v>111</v>
      </c>
      <c r="C6" s="92">
        <v>4</v>
      </c>
      <c r="H6" s="44">
        <v>111</v>
      </c>
      <c r="I6" s="92">
        <v>4</v>
      </c>
      <c r="N6" s="45">
        <v>111</v>
      </c>
      <c r="O6" s="92">
        <v>4</v>
      </c>
      <c r="P6" s="166"/>
      <c r="T6" s="44">
        <f>28*3</f>
        <v>84</v>
      </c>
      <c r="U6" s="92">
        <v>3</v>
      </c>
      <c r="V6" s="166"/>
      <c r="Z6" s="44">
        <f t="shared" si="0"/>
        <v>78</v>
      </c>
      <c r="AA6" s="92">
        <v>3</v>
      </c>
      <c r="AB6" s="166"/>
      <c r="AF6" s="44">
        <v>111</v>
      </c>
      <c r="AG6" s="92">
        <v>4</v>
      </c>
      <c r="AH6" s="166"/>
      <c r="AL6" s="44"/>
      <c r="AM6" s="90"/>
      <c r="AR6" s="44">
        <f t="shared" si="1"/>
        <v>606</v>
      </c>
      <c r="AS6" s="90"/>
    </row>
    <row r="7" spans="1:45" x14ac:dyDescent="0.25">
      <c r="A7" s="5" t="s">
        <v>6</v>
      </c>
      <c r="B7" s="44">
        <v>111</v>
      </c>
      <c r="C7" s="92">
        <v>4</v>
      </c>
      <c r="H7" s="44">
        <v>111</v>
      </c>
      <c r="I7" s="92">
        <v>4</v>
      </c>
      <c r="N7" s="45">
        <f>28*5</f>
        <v>140</v>
      </c>
      <c r="O7" s="92">
        <v>5</v>
      </c>
      <c r="P7" s="166"/>
      <c r="T7" s="44">
        <f>28*4-3</f>
        <v>109</v>
      </c>
      <c r="U7" s="92">
        <v>4</v>
      </c>
      <c r="V7" s="166"/>
      <c r="Z7" s="44">
        <f>27*3</f>
        <v>81</v>
      </c>
      <c r="AA7" s="92">
        <v>3</v>
      </c>
      <c r="AB7" s="166"/>
      <c r="AF7" s="44">
        <f>27*4</f>
        <v>108</v>
      </c>
      <c r="AG7" s="92">
        <v>4</v>
      </c>
      <c r="AH7" s="166"/>
      <c r="AL7" s="44"/>
      <c r="AM7" s="90"/>
      <c r="AR7" s="44">
        <f t="shared" si="1"/>
        <v>660</v>
      </c>
      <c r="AS7" s="90"/>
    </row>
    <row r="8" spans="1:45" x14ac:dyDescent="0.25">
      <c r="A8" s="5" t="s">
        <v>7</v>
      </c>
      <c r="B8" s="44">
        <v>111</v>
      </c>
      <c r="C8" s="92">
        <v>4</v>
      </c>
      <c r="H8" s="44">
        <v>111</v>
      </c>
      <c r="I8" s="92">
        <v>4</v>
      </c>
      <c r="N8" s="45">
        <f>28*5</f>
        <v>140</v>
      </c>
      <c r="O8" s="92">
        <v>5</v>
      </c>
      <c r="P8" s="166"/>
      <c r="T8" s="44">
        <f>28*4-3</f>
        <v>109</v>
      </c>
      <c r="U8" s="92">
        <v>4</v>
      </c>
      <c r="V8" s="166"/>
      <c r="Z8" s="44">
        <v>81</v>
      </c>
      <c r="AA8" s="92">
        <v>3</v>
      </c>
      <c r="AB8" s="166"/>
      <c r="AF8" s="44">
        <v>108</v>
      </c>
      <c r="AG8" s="92">
        <v>4</v>
      </c>
      <c r="AH8" s="166"/>
      <c r="AL8" s="44"/>
      <c r="AM8" s="90"/>
      <c r="AR8" s="44">
        <f t="shared" si="1"/>
        <v>660</v>
      </c>
      <c r="AS8" s="90"/>
    </row>
    <row r="9" spans="1:45" x14ac:dyDescent="0.25">
      <c r="A9" s="5" t="s">
        <v>8</v>
      </c>
      <c r="B9" s="44">
        <v>110</v>
      </c>
      <c r="C9" s="92">
        <v>4</v>
      </c>
      <c r="H9" s="44">
        <v>110</v>
      </c>
      <c r="I9" s="92">
        <v>4</v>
      </c>
      <c r="N9" s="45">
        <f>28*5</f>
        <v>140</v>
      </c>
      <c r="O9" s="92">
        <v>5</v>
      </c>
      <c r="P9" s="166"/>
      <c r="T9" s="44">
        <v>82</v>
      </c>
      <c r="U9" s="92">
        <v>3</v>
      </c>
      <c r="V9" s="166"/>
      <c r="Z9" s="44">
        <v>84</v>
      </c>
      <c r="AA9" s="92">
        <v>3</v>
      </c>
      <c r="AB9" s="166"/>
      <c r="AF9" s="44">
        <v>108</v>
      </c>
      <c r="AG9" s="92">
        <v>4</v>
      </c>
      <c r="AH9" s="166"/>
      <c r="AL9" s="44"/>
      <c r="AM9" s="90"/>
      <c r="AR9" s="44">
        <f t="shared" si="1"/>
        <v>634</v>
      </c>
      <c r="AS9" s="90"/>
    </row>
    <row r="10" spans="1:45" x14ac:dyDescent="0.25">
      <c r="A10" s="5" t="s">
        <v>9</v>
      </c>
      <c r="B10" s="44">
        <v>124</v>
      </c>
      <c r="C10" s="92">
        <v>4</v>
      </c>
      <c r="H10" s="44">
        <v>124</v>
      </c>
      <c r="I10" s="92">
        <v>4</v>
      </c>
      <c r="N10" s="45">
        <f>32*5</f>
        <v>160</v>
      </c>
      <c r="O10" s="92">
        <v>5</v>
      </c>
      <c r="P10" s="166"/>
      <c r="T10" s="44">
        <v>0</v>
      </c>
      <c r="U10" s="92"/>
      <c r="Z10" s="44">
        <f>31*5</f>
        <v>155</v>
      </c>
      <c r="AA10" s="92">
        <v>5</v>
      </c>
      <c r="AF10" s="44">
        <v>124</v>
      </c>
      <c r="AG10" s="92">
        <v>4</v>
      </c>
      <c r="AL10" s="44"/>
      <c r="AM10" s="90"/>
      <c r="AR10" s="44">
        <f t="shared" si="1"/>
        <v>687</v>
      </c>
      <c r="AS10" s="90"/>
    </row>
    <row r="11" spans="1:45" x14ac:dyDescent="0.25">
      <c r="A11" s="5" t="s">
        <v>10</v>
      </c>
      <c r="B11" s="44">
        <v>124</v>
      </c>
      <c r="C11" s="92">
        <v>4</v>
      </c>
      <c r="H11" s="44">
        <v>124</v>
      </c>
      <c r="I11" s="92">
        <v>4</v>
      </c>
      <c r="N11" s="45">
        <f>32*5</f>
        <v>160</v>
      </c>
      <c r="O11" s="92">
        <v>5</v>
      </c>
      <c r="P11" s="166"/>
      <c r="T11" s="44">
        <v>0</v>
      </c>
      <c r="U11" s="92"/>
      <c r="Z11" s="44">
        <v>93</v>
      </c>
      <c r="AA11" s="92">
        <v>3</v>
      </c>
      <c r="AF11" s="44">
        <v>155</v>
      </c>
      <c r="AG11" s="92">
        <v>5</v>
      </c>
      <c r="AL11" s="44"/>
      <c r="AM11" s="90"/>
      <c r="AR11" s="44">
        <f t="shared" si="1"/>
        <v>656</v>
      </c>
      <c r="AS11" s="90"/>
    </row>
    <row r="12" spans="1:45" x14ac:dyDescent="0.25">
      <c r="A12" s="5" t="s">
        <v>11</v>
      </c>
      <c r="B12" s="44">
        <v>122</v>
      </c>
      <c r="C12" s="92">
        <v>4</v>
      </c>
      <c r="H12" s="44">
        <v>122</v>
      </c>
      <c r="I12" s="92">
        <v>4</v>
      </c>
      <c r="N12" s="45">
        <f>32*5</f>
        <v>160</v>
      </c>
      <c r="O12" s="92">
        <v>5</v>
      </c>
      <c r="P12" s="166"/>
      <c r="T12" s="44">
        <v>0</v>
      </c>
      <c r="U12" s="92"/>
      <c r="Z12" s="44">
        <v>62</v>
      </c>
      <c r="AA12" s="92">
        <v>2</v>
      </c>
      <c r="AF12" s="44">
        <v>0</v>
      </c>
      <c r="AG12" s="92"/>
      <c r="AL12" s="44"/>
      <c r="AM12" s="90"/>
      <c r="AR12" s="44">
        <f t="shared" si="1"/>
        <v>466</v>
      </c>
      <c r="AS12" s="90"/>
    </row>
    <row r="13" spans="1:45" x14ac:dyDescent="0.25">
      <c r="A13" s="5" t="s">
        <v>12</v>
      </c>
      <c r="B13" s="45">
        <v>0</v>
      </c>
      <c r="C13" s="92"/>
      <c r="H13" s="45">
        <v>0</v>
      </c>
      <c r="I13" s="92"/>
      <c r="N13" s="45">
        <f>32*11+3</f>
        <v>355</v>
      </c>
      <c r="O13" s="92">
        <v>11</v>
      </c>
      <c r="P13" s="166"/>
      <c r="T13" s="45">
        <v>0</v>
      </c>
      <c r="U13" s="92"/>
      <c r="Z13" s="45">
        <v>93</v>
      </c>
      <c r="AA13" s="92">
        <v>3</v>
      </c>
      <c r="AF13" s="45">
        <v>0</v>
      </c>
      <c r="AG13" s="92"/>
      <c r="AL13" s="45"/>
      <c r="AM13" s="90"/>
      <c r="AR13" s="44">
        <f t="shared" si="1"/>
        <v>448</v>
      </c>
      <c r="AS13" s="90"/>
    </row>
    <row r="14" spans="1:45" x14ac:dyDescent="0.25">
      <c r="A14" s="5" t="s">
        <v>13</v>
      </c>
      <c r="B14" s="45">
        <v>0</v>
      </c>
      <c r="C14" s="92"/>
      <c r="H14" s="45">
        <v>0</v>
      </c>
      <c r="I14" s="92"/>
      <c r="N14" s="45">
        <v>345</v>
      </c>
      <c r="O14" s="92">
        <v>11</v>
      </c>
      <c r="P14" s="166"/>
      <c r="T14" s="45">
        <v>0</v>
      </c>
      <c r="U14" s="92"/>
      <c r="Z14" s="45">
        <v>0</v>
      </c>
      <c r="AA14" s="92"/>
      <c r="AF14" s="45">
        <v>0</v>
      </c>
      <c r="AG14" s="92"/>
      <c r="AL14" s="45">
        <v>0</v>
      </c>
      <c r="AM14" s="90"/>
      <c r="AR14" s="44">
        <f t="shared" si="1"/>
        <v>345</v>
      </c>
      <c r="AS14" s="90"/>
    </row>
    <row r="15" spans="1:45" x14ac:dyDescent="0.25">
      <c r="A15" s="5" t="s">
        <v>14</v>
      </c>
      <c r="B15" s="45">
        <v>0</v>
      </c>
      <c r="C15" s="92"/>
      <c r="H15" s="45">
        <v>0</v>
      </c>
      <c r="I15" s="92"/>
      <c r="N15" s="45">
        <v>310</v>
      </c>
      <c r="O15" s="92">
        <v>10</v>
      </c>
      <c r="P15" s="166"/>
      <c r="T15" s="45">
        <v>0</v>
      </c>
      <c r="U15" s="92"/>
      <c r="Z15" s="45">
        <v>0</v>
      </c>
      <c r="AA15" s="92"/>
      <c r="AF15" s="45">
        <v>0</v>
      </c>
      <c r="AG15" s="92"/>
      <c r="AL15" s="45">
        <v>0</v>
      </c>
      <c r="AM15" s="90"/>
      <c r="AR15" s="44">
        <f t="shared" si="1"/>
        <v>310</v>
      </c>
      <c r="AS15" s="90"/>
    </row>
    <row r="16" spans="1:45" x14ac:dyDescent="0.25">
      <c r="A16" s="5" t="s">
        <v>15</v>
      </c>
      <c r="B16" s="45">
        <v>0</v>
      </c>
      <c r="C16" s="92"/>
      <c r="H16" s="45">
        <v>0</v>
      </c>
      <c r="I16" s="92"/>
      <c r="N16" s="45">
        <v>275</v>
      </c>
      <c r="O16" s="92">
        <v>9</v>
      </c>
      <c r="P16" s="166"/>
      <c r="T16" s="45">
        <v>0</v>
      </c>
      <c r="U16" s="92"/>
      <c r="Z16" s="45">
        <v>0</v>
      </c>
      <c r="AA16" s="92"/>
      <c r="AF16" s="45">
        <v>0</v>
      </c>
      <c r="AG16" s="92"/>
      <c r="AL16" s="45">
        <v>0</v>
      </c>
      <c r="AM16" s="90"/>
      <c r="AR16" s="44">
        <f t="shared" si="1"/>
        <v>275</v>
      </c>
      <c r="AS16" s="90"/>
    </row>
    <row r="17" spans="1:48" x14ac:dyDescent="0.25">
      <c r="A17" s="6" t="s">
        <v>2</v>
      </c>
      <c r="B17" s="43">
        <f>SUM(B4:B16)</f>
        <v>1028</v>
      </c>
      <c r="C17" s="92">
        <f>SUM(C4:C16)</f>
        <v>36</v>
      </c>
      <c r="H17" s="43">
        <f>SUM(H4:H16)</f>
        <v>1028</v>
      </c>
      <c r="I17" s="92">
        <f>SUM(I4:I16)</f>
        <v>36</v>
      </c>
      <c r="N17" s="43">
        <f>SUM(N4:N16)</f>
        <v>2511</v>
      </c>
      <c r="O17" s="92">
        <f>SUM(O4:O16)</f>
        <v>83</v>
      </c>
      <c r="P17" s="166"/>
      <c r="T17" s="43">
        <f>SUM(T4:T16)</f>
        <v>537</v>
      </c>
      <c r="U17" s="92">
        <f>SUM(U4:U16)</f>
        <v>20</v>
      </c>
      <c r="Z17" s="43">
        <f>SUM(Z4:Z16)</f>
        <v>883</v>
      </c>
      <c r="AA17" s="92">
        <f>SUM(AA4:AA16)</f>
        <v>31</v>
      </c>
      <c r="AF17" s="43">
        <f>SUM(AF4:AF16)</f>
        <v>929</v>
      </c>
      <c r="AG17" s="92">
        <f>SUM(AG4:AG16)</f>
        <v>33</v>
      </c>
      <c r="AH17" s="151">
        <f>'FY27'!AF17*0.35</f>
        <v>0</v>
      </c>
      <c r="AL17" s="43">
        <f>SUM(AL4:AL16)</f>
        <v>0</v>
      </c>
      <c r="AM17" s="90"/>
      <c r="AR17" s="43">
        <f>SUM(AR4:AR16)</f>
        <v>6916</v>
      </c>
      <c r="AS17" s="90"/>
    </row>
    <row r="18" spans="1:48" x14ac:dyDescent="0.25">
      <c r="AH18">
        <f>'FY27'!AF17*0.12</f>
        <v>0</v>
      </c>
    </row>
    <row r="20" spans="1:48" x14ac:dyDescent="0.25">
      <c r="A20" s="8" t="s">
        <v>16</v>
      </c>
      <c r="B20" s="46" t="s">
        <v>157</v>
      </c>
      <c r="C20" s="46" t="s">
        <v>158</v>
      </c>
      <c r="D20" s="46" t="s">
        <v>159</v>
      </c>
      <c r="E20" s="46" t="s">
        <v>160</v>
      </c>
      <c r="F20" s="46" t="s">
        <v>254</v>
      </c>
      <c r="H20" s="46" t="s">
        <v>157</v>
      </c>
      <c r="I20" s="46" t="s">
        <v>158</v>
      </c>
      <c r="J20" s="46" t="s">
        <v>159</v>
      </c>
      <c r="K20" s="46" t="s">
        <v>160</v>
      </c>
      <c r="L20" s="46" t="s">
        <v>256</v>
      </c>
      <c r="N20" s="46" t="s">
        <v>157</v>
      </c>
      <c r="O20" s="46" t="s">
        <v>158</v>
      </c>
      <c r="P20" s="46" t="s">
        <v>159</v>
      </c>
      <c r="Q20" s="46" t="s">
        <v>160</v>
      </c>
      <c r="R20" s="46" t="s">
        <v>333</v>
      </c>
      <c r="T20" s="46" t="s">
        <v>157</v>
      </c>
      <c r="U20" s="46" t="s">
        <v>158</v>
      </c>
      <c r="V20" s="46" t="s">
        <v>159</v>
      </c>
      <c r="W20" s="46" t="s">
        <v>160</v>
      </c>
      <c r="X20" s="46" t="s">
        <v>258</v>
      </c>
      <c r="Y20" s="195"/>
      <c r="Z20" s="46" t="s">
        <v>157</v>
      </c>
      <c r="AA20" s="46" t="s">
        <v>158</v>
      </c>
      <c r="AB20" s="46" t="s">
        <v>159</v>
      </c>
      <c r="AC20" s="46" t="s">
        <v>160</v>
      </c>
      <c r="AD20" s="46" t="s">
        <v>331</v>
      </c>
      <c r="AE20" s="195"/>
      <c r="AF20" s="46" t="s">
        <v>157</v>
      </c>
      <c r="AG20" s="46" t="s">
        <v>158</v>
      </c>
      <c r="AH20" s="46" t="s">
        <v>159</v>
      </c>
      <c r="AI20" s="46" t="s">
        <v>160</v>
      </c>
      <c r="AJ20" s="46" t="s">
        <v>302</v>
      </c>
      <c r="AL20" s="46" t="s">
        <v>157</v>
      </c>
      <c r="AM20" s="46" t="s">
        <v>158</v>
      </c>
      <c r="AN20" s="46" t="s">
        <v>159</v>
      </c>
      <c r="AO20" s="46" t="s">
        <v>280</v>
      </c>
      <c r="AP20" s="46" t="s">
        <v>260</v>
      </c>
      <c r="AR20" s="46" t="s">
        <v>157</v>
      </c>
      <c r="AS20" s="46" t="s">
        <v>158</v>
      </c>
      <c r="AT20" s="46" t="s">
        <v>159</v>
      </c>
      <c r="AU20" s="46" t="s">
        <v>160</v>
      </c>
      <c r="AV20" s="46" t="s">
        <v>261</v>
      </c>
    </row>
    <row r="21" spans="1:48" x14ac:dyDescent="0.25">
      <c r="A21" s="5" t="s">
        <v>17</v>
      </c>
      <c r="B21" s="45"/>
      <c r="C21" s="45">
        <v>105</v>
      </c>
      <c r="D21" s="45"/>
      <c r="E21" s="45"/>
      <c r="F21" s="45">
        <f>SUM(B21:E21)</f>
        <v>105</v>
      </c>
      <c r="H21" s="45"/>
      <c r="I21" s="45">
        <v>105</v>
      </c>
      <c r="J21" s="45"/>
      <c r="K21" s="45"/>
      <c r="L21" s="45">
        <f>SUM(H21:K21)</f>
        <v>105</v>
      </c>
      <c r="N21" s="45"/>
      <c r="O21" s="45">
        <v>270</v>
      </c>
      <c r="P21" s="45"/>
      <c r="Q21" s="45"/>
      <c r="R21" s="45">
        <f>SUM(N21:Q21)</f>
        <v>270</v>
      </c>
      <c r="T21" s="45"/>
      <c r="U21" s="45">
        <v>60</v>
      </c>
      <c r="V21" s="45"/>
      <c r="W21" s="45"/>
      <c r="X21" s="45">
        <f>SUM(T21:W21)</f>
        <v>60</v>
      </c>
      <c r="Y21" s="196"/>
      <c r="Z21" s="45"/>
      <c r="AA21" s="45">
        <v>72</v>
      </c>
      <c r="AB21" s="45"/>
      <c r="AC21" s="45"/>
      <c r="AD21" s="45">
        <f>SUM(Z21:AC21)</f>
        <v>72</v>
      </c>
      <c r="AE21" s="196"/>
      <c r="AF21" s="45"/>
      <c r="AG21" s="45">
        <v>95</v>
      </c>
      <c r="AH21" s="45"/>
      <c r="AI21" s="45"/>
      <c r="AJ21" s="45">
        <f>SUM(AF21:AI21)</f>
        <v>95</v>
      </c>
      <c r="AL21" s="47"/>
      <c r="AM21" s="47"/>
      <c r="AN21" s="47"/>
      <c r="AO21" s="45"/>
      <c r="AP21" s="45">
        <f>SUM(AL21:AO21)</f>
        <v>0</v>
      </c>
      <c r="AR21" s="47">
        <f>B21+H21+N21+T21+AL21+AF21+Z21</f>
        <v>0</v>
      </c>
      <c r="AS21" s="47">
        <f t="shared" ref="AS21:AU24" si="2">C21+I21+O21+U21+AM21+AG21+AA21</f>
        <v>707</v>
      </c>
      <c r="AT21" s="47">
        <f t="shared" si="2"/>
        <v>0</v>
      </c>
      <c r="AU21" s="47">
        <f t="shared" si="2"/>
        <v>0</v>
      </c>
      <c r="AV21" s="45">
        <f>SUM(AR21:AU21)</f>
        <v>707</v>
      </c>
    </row>
    <row r="22" spans="1:48" x14ac:dyDescent="0.25">
      <c r="A22" s="5" t="s">
        <v>18</v>
      </c>
      <c r="B22" s="45">
        <v>360</v>
      </c>
      <c r="C22" s="45"/>
      <c r="D22" s="45"/>
      <c r="E22" s="45"/>
      <c r="F22" s="45">
        <f t="shared" ref="F22:F25" si="3">SUM(B22:E22)</f>
        <v>360</v>
      </c>
      <c r="H22" s="45">
        <v>360</v>
      </c>
      <c r="I22" s="45"/>
      <c r="J22" s="45"/>
      <c r="K22" s="45"/>
      <c r="L22" s="45">
        <f t="shared" ref="L22:L25" si="4">SUM(H22:K22)</f>
        <v>360</v>
      </c>
      <c r="N22" s="45">
        <v>740</v>
      </c>
      <c r="O22" s="45"/>
      <c r="P22" s="45"/>
      <c r="Q22" s="45"/>
      <c r="R22" s="45">
        <f t="shared" ref="R22:R25" si="5">SUM(N22:Q22)</f>
        <v>740</v>
      </c>
      <c r="T22" s="45">
        <v>80</v>
      </c>
      <c r="U22" s="45"/>
      <c r="V22" s="45"/>
      <c r="W22" s="45"/>
      <c r="X22" s="45">
        <f t="shared" ref="X22:X25" si="6">SUM(T22:W22)</f>
        <v>80</v>
      </c>
      <c r="Y22" s="196"/>
      <c r="Z22" s="45">
        <v>210</v>
      </c>
      <c r="AA22" s="45"/>
      <c r="AB22" s="45"/>
      <c r="AC22" s="45"/>
      <c r="AD22" s="45">
        <f t="shared" ref="AD22:AD25" si="7">SUM(Z22:AC22)</f>
        <v>210</v>
      </c>
      <c r="AE22" s="196"/>
      <c r="AF22" s="45">
        <v>260</v>
      </c>
      <c r="AG22" s="45"/>
      <c r="AH22" s="45"/>
      <c r="AI22" s="45"/>
      <c r="AJ22" s="45">
        <f t="shared" ref="AJ22:AJ25" si="8">SUM(AF22:AI22)</f>
        <v>260</v>
      </c>
      <c r="AL22" s="47"/>
      <c r="AM22" s="47"/>
      <c r="AN22" s="47"/>
      <c r="AO22" s="45"/>
      <c r="AP22" s="45">
        <f t="shared" ref="AP22:AP25" si="9">SUM(AL22:AO22)</f>
        <v>0</v>
      </c>
      <c r="AR22" s="47">
        <f t="shared" ref="AR22:AR24" si="10">B22+H22+N22+T22+AL22+AF22+Z22</f>
        <v>2010</v>
      </c>
      <c r="AS22" s="47">
        <f t="shared" si="2"/>
        <v>0</v>
      </c>
      <c r="AT22" s="47">
        <f t="shared" si="2"/>
        <v>0</v>
      </c>
      <c r="AU22" s="47">
        <f t="shared" si="2"/>
        <v>0</v>
      </c>
      <c r="AV22" s="45">
        <f t="shared" ref="AV22:AV25" si="11">SUM(AR22:AU22)</f>
        <v>2010</v>
      </c>
    </row>
    <row r="23" spans="1:48" x14ac:dyDescent="0.25">
      <c r="A23" s="5" t="s">
        <v>19</v>
      </c>
      <c r="B23" s="47">
        <v>0</v>
      </c>
      <c r="C23" s="47"/>
      <c r="D23" s="47"/>
      <c r="E23" s="47"/>
      <c r="F23" s="45">
        <f t="shared" si="3"/>
        <v>0</v>
      </c>
      <c r="H23" s="47">
        <v>0</v>
      </c>
      <c r="I23" s="47"/>
      <c r="J23" s="47"/>
      <c r="K23" s="47"/>
      <c r="L23" s="45">
        <f t="shared" si="4"/>
        <v>0</v>
      </c>
      <c r="N23" s="47">
        <v>0</v>
      </c>
      <c r="O23" s="47"/>
      <c r="P23" s="47"/>
      <c r="Q23" s="47"/>
      <c r="R23" s="45">
        <f t="shared" si="5"/>
        <v>0</v>
      </c>
      <c r="T23" s="47">
        <v>0</v>
      </c>
      <c r="U23" s="47"/>
      <c r="V23" s="47"/>
      <c r="W23" s="47"/>
      <c r="X23" s="45">
        <f t="shared" si="6"/>
        <v>0</v>
      </c>
      <c r="Y23" s="196"/>
      <c r="Z23" s="47">
        <v>0</v>
      </c>
      <c r="AA23" s="47"/>
      <c r="AB23" s="47"/>
      <c r="AC23" s="47"/>
      <c r="AD23" s="45">
        <f t="shared" si="7"/>
        <v>0</v>
      </c>
      <c r="AE23" s="196"/>
      <c r="AF23" s="47">
        <v>0</v>
      </c>
      <c r="AG23" s="47"/>
      <c r="AH23" s="47"/>
      <c r="AI23" s="47"/>
      <c r="AJ23" s="45">
        <f t="shared" si="8"/>
        <v>0</v>
      </c>
      <c r="AL23" s="47"/>
      <c r="AM23" s="47"/>
      <c r="AN23" s="47"/>
      <c r="AO23" s="47"/>
      <c r="AP23" s="45">
        <f t="shared" si="9"/>
        <v>0</v>
      </c>
      <c r="AR23" s="47">
        <f t="shared" si="10"/>
        <v>0</v>
      </c>
      <c r="AS23" s="47">
        <f t="shared" si="2"/>
        <v>0</v>
      </c>
      <c r="AT23" s="47">
        <f t="shared" si="2"/>
        <v>0</v>
      </c>
      <c r="AU23" s="47">
        <f t="shared" si="2"/>
        <v>0</v>
      </c>
      <c r="AV23" s="45">
        <f t="shared" si="11"/>
        <v>0</v>
      </c>
    </row>
    <row r="24" spans="1:48" x14ac:dyDescent="0.25">
      <c r="A24" s="5" t="s">
        <v>20</v>
      </c>
      <c r="B24" s="47">
        <v>0</v>
      </c>
      <c r="C24" s="47"/>
      <c r="D24" s="47"/>
      <c r="E24" s="47"/>
      <c r="F24" s="45">
        <f t="shared" si="3"/>
        <v>0</v>
      </c>
      <c r="H24" s="47">
        <v>0</v>
      </c>
      <c r="I24" s="47"/>
      <c r="J24" s="47"/>
      <c r="K24" s="47"/>
      <c r="L24" s="45">
        <f t="shared" si="4"/>
        <v>0</v>
      </c>
      <c r="N24" s="47">
        <v>5</v>
      </c>
      <c r="O24" s="47"/>
      <c r="P24" s="47"/>
      <c r="Q24" s="47"/>
      <c r="R24" s="45">
        <f t="shared" si="5"/>
        <v>5</v>
      </c>
      <c r="T24" s="47">
        <v>0</v>
      </c>
      <c r="U24" s="47"/>
      <c r="V24" s="47"/>
      <c r="W24" s="47"/>
      <c r="X24" s="45">
        <f t="shared" si="6"/>
        <v>0</v>
      </c>
      <c r="Y24" s="196"/>
      <c r="Z24" s="47">
        <v>0</v>
      </c>
      <c r="AA24" s="47"/>
      <c r="AB24" s="47"/>
      <c r="AC24" s="47"/>
      <c r="AD24" s="45">
        <f t="shared" si="7"/>
        <v>0</v>
      </c>
      <c r="AE24" s="196"/>
      <c r="AF24" s="47">
        <v>0</v>
      </c>
      <c r="AG24" s="47"/>
      <c r="AH24" s="47"/>
      <c r="AI24" s="47"/>
      <c r="AJ24" s="45">
        <f t="shared" si="8"/>
        <v>0</v>
      </c>
      <c r="AL24" s="47"/>
      <c r="AM24" s="47"/>
      <c r="AN24" s="47"/>
      <c r="AO24" s="47"/>
      <c r="AP24" s="45">
        <f t="shared" si="9"/>
        <v>0</v>
      </c>
      <c r="AR24" s="47">
        <f t="shared" si="10"/>
        <v>5</v>
      </c>
      <c r="AS24" s="47">
        <f t="shared" si="2"/>
        <v>0</v>
      </c>
      <c r="AT24" s="47">
        <f t="shared" si="2"/>
        <v>0</v>
      </c>
      <c r="AU24" s="47">
        <f t="shared" si="2"/>
        <v>0</v>
      </c>
      <c r="AV24" s="45">
        <f t="shared" si="11"/>
        <v>5</v>
      </c>
    </row>
    <row r="25" spans="1:48" x14ac:dyDescent="0.25">
      <c r="A25" s="5" t="s">
        <v>21</v>
      </c>
      <c r="B25" s="48"/>
      <c r="C25" s="48"/>
      <c r="D25" s="49">
        <v>1</v>
      </c>
      <c r="E25" s="49"/>
      <c r="F25" s="45">
        <f t="shared" si="3"/>
        <v>1</v>
      </c>
      <c r="H25" s="48"/>
      <c r="I25" s="48"/>
      <c r="J25" s="49">
        <v>1</v>
      </c>
      <c r="K25" s="49"/>
      <c r="L25" s="45">
        <f t="shared" si="4"/>
        <v>1</v>
      </c>
      <c r="N25" s="48"/>
      <c r="O25" s="48"/>
      <c r="P25" s="49">
        <v>1</v>
      </c>
      <c r="Q25" s="49"/>
      <c r="R25" s="45">
        <f t="shared" si="5"/>
        <v>1</v>
      </c>
      <c r="T25" s="48"/>
      <c r="U25" s="48"/>
      <c r="V25" s="49">
        <v>1</v>
      </c>
      <c r="W25" s="49"/>
      <c r="X25" s="45">
        <f t="shared" si="6"/>
        <v>1</v>
      </c>
      <c r="Y25" s="196"/>
      <c r="Z25" s="48"/>
      <c r="AA25" s="48"/>
      <c r="AB25" s="49">
        <v>1</v>
      </c>
      <c r="AC25" s="49"/>
      <c r="AD25" s="45">
        <f t="shared" si="7"/>
        <v>1</v>
      </c>
      <c r="AE25" s="196"/>
      <c r="AF25" s="48"/>
      <c r="AG25" s="48"/>
      <c r="AH25" s="49">
        <v>1</v>
      </c>
      <c r="AI25" s="49"/>
      <c r="AJ25" s="45">
        <f t="shared" si="8"/>
        <v>1</v>
      </c>
      <c r="AL25" s="48"/>
      <c r="AM25" s="48"/>
      <c r="AN25" s="49"/>
      <c r="AO25" s="49"/>
      <c r="AP25" s="45">
        <f t="shared" si="9"/>
        <v>0</v>
      </c>
      <c r="AR25" s="47">
        <f t="shared" ref="AR25" si="12">B25+H25+N25+T25+AL25+AF25</f>
        <v>0</v>
      </c>
      <c r="AS25" s="47">
        <f>C25+I25+O25+U25+AM25+AG25</f>
        <v>0</v>
      </c>
      <c r="AT25" s="48">
        <v>1</v>
      </c>
      <c r="AU25" s="47">
        <f>E25+K25+Q25+W25+AO25+AI25</f>
        <v>0</v>
      </c>
      <c r="AV25" s="45">
        <f t="shared" si="11"/>
        <v>1</v>
      </c>
    </row>
    <row r="26" spans="1:48" x14ac:dyDescent="0.25">
      <c r="A26" s="9" t="s">
        <v>22</v>
      </c>
      <c r="B26" s="46" t="s">
        <v>157</v>
      </c>
      <c r="C26" s="46" t="s">
        <v>158</v>
      </c>
      <c r="D26" s="46" t="s">
        <v>159</v>
      </c>
      <c r="E26" s="46" t="str">
        <f>E20</f>
        <v>Other</v>
      </c>
      <c r="F26" s="46" t="str">
        <f>F20</f>
        <v>FY29- Mtn</v>
      </c>
      <c r="H26" s="46" t="s">
        <v>157</v>
      </c>
      <c r="I26" s="46" t="s">
        <v>158</v>
      </c>
      <c r="J26" s="46" t="s">
        <v>159</v>
      </c>
      <c r="K26" s="46" t="str">
        <f>K20</f>
        <v>Other</v>
      </c>
      <c r="L26" s="46" t="str">
        <f>L20</f>
        <v>FY29- Bon</v>
      </c>
      <c r="N26" s="46" t="s">
        <v>157</v>
      </c>
      <c r="O26" s="46" t="s">
        <v>158</v>
      </c>
      <c r="P26" s="46" t="s">
        <v>159</v>
      </c>
      <c r="Q26" s="46" t="str">
        <f>Q20</f>
        <v>Other</v>
      </c>
      <c r="R26" s="46" t="str">
        <f>R20</f>
        <v>FY29- East</v>
      </c>
      <c r="T26" s="46" t="s">
        <v>157</v>
      </c>
      <c r="U26" s="46" t="s">
        <v>158</v>
      </c>
      <c r="V26" s="46" t="s">
        <v>159</v>
      </c>
      <c r="W26" s="46" t="str">
        <f>W20</f>
        <v>Other</v>
      </c>
      <c r="X26" s="46" t="str">
        <f>X20</f>
        <v>FY29- Cactus</v>
      </c>
      <c r="Y26" s="195"/>
      <c r="Z26" s="46" t="s">
        <v>157</v>
      </c>
      <c r="AA26" s="46" t="s">
        <v>158</v>
      </c>
      <c r="AB26" s="46" t="s">
        <v>159</v>
      </c>
      <c r="AC26" s="46" t="str">
        <f>AC20</f>
        <v>Other</v>
      </c>
      <c r="AD26" s="46" t="str">
        <f>AD20</f>
        <v>FY29- Sahara</v>
      </c>
      <c r="AE26" s="195"/>
      <c r="AF26" s="46" t="s">
        <v>157</v>
      </c>
      <c r="AG26" s="46" t="s">
        <v>158</v>
      </c>
      <c r="AH26" s="46" t="s">
        <v>159</v>
      </c>
      <c r="AI26" s="46" t="str">
        <f>AI20</f>
        <v>Other</v>
      </c>
      <c r="AJ26" s="46" t="str">
        <f>AJ20</f>
        <v>FY29- VV</v>
      </c>
      <c r="AL26" s="46" t="s">
        <v>157</v>
      </c>
      <c r="AM26" s="46" t="s">
        <v>158</v>
      </c>
      <c r="AN26" s="46" t="s">
        <v>159</v>
      </c>
      <c r="AO26" s="46" t="str">
        <f>AO20</f>
        <v>Grant</v>
      </c>
      <c r="AP26" s="46" t="str">
        <f>AP20</f>
        <v>FY29 - Central</v>
      </c>
      <c r="AR26" s="46" t="s">
        <v>157</v>
      </c>
      <c r="AS26" s="46" t="s">
        <v>158</v>
      </c>
      <c r="AT26" s="46" t="s">
        <v>159</v>
      </c>
      <c r="AU26" s="46" t="str">
        <f>AU20</f>
        <v>Other</v>
      </c>
      <c r="AV26" s="46" t="str">
        <f>AV20</f>
        <v>FY29- Sys</v>
      </c>
    </row>
    <row r="27" spans="1:48" x14ac:dyDescent="0.25">
      <c r="A27" s="10" t="s">
        <v>23</v>
      </c>
      <c r="B27" s="50">
        <v>36</v>
      </c>
      <c r="C27" s="50"/>
      <c r="D27" s="50"/>
      <c r="E27" s="50"/>
      <c r="F27" s="50">
        <f>SUM(B27:E27)</f>
        <v>36</v>
      </c>
      <c r="H27" s="50">
        <v>36</v>
      </c>
      <c r="I27" s="50"/>
      <c r="J27" s="50"/>
      <c r="K27" s="50"/>
      <c r="L27" s="50">
        <f>SUM(H27:K27)</f>
        <v>36</v>
      </c>
      <c r="N27" s="51">
        <v>83</v>
      </c>
      <c r="O27" s="50"/>
      <c r="P27" s="50"/>
      <c r="Q27" s="50"/>
      <c r="R27" s="50">
        <f>SUM(N27:Q27)</f>
        <v>83</v>
      </c>
      <c r="T27" s="50">
        <v>20</v>
      </c>
      <c r="U27" s="50"/>
      <c r="V27" s="50"/>
      <c r="W27" s="50"/>
      <c r="X27" s="50">
        <f>SUM(T27:W27)</f>
        <v>20</v>
      </c>
      <c r="Y27" s="193"/>
      <c r="Z27" s="50">
        <v>31</v>
      </c>
      <c r="AA27" s="50"/>
      <c r="AB27" s="50"/>
      <c r="AC27" s="50"/>
      <c r="AD27" s="50">
        <f>SUM(Z27:AC27)</f>
        <v>31</v>
      </c>
      <c r="AE27" s="193"/>
      <c r="AF27" s="50">
        <v>33</v>
      </c>
      <c r="AG27" s="50"/>
      <c r="AH27" s="50"/>
      <c r="AI27" s="50"/>
      <c r="AJ27" s="50">
        <f>SUM(AF27:AI27)</f>
        <v>33</v>
      </c>
      <c r="AK27" s="151">
        <f>AJ27/6</f>
        <v>5.5</v>
      </c>
      <c r="AL27" s="50"/>
      <c r="AM27" s="50"/>
      <c r="AN27" s="50"/>
      <c r="AO27" s="50"/>
      <c r="AP27" s="50">
        <f>SUM(AL27:AO27)</f>
        <v>0</v>
      </c>
      <c r="AR27" s="50">
        <f>B27+H27+N27+T27+AL27+AF27+Z27</f>
        <v>239</v>
      </c>
      <c r="AS27" s="50">
        <f t="shared" ref="AS27:AU35" si="13">C27+I27+O27+U27+AM27+AG27+AA27</f>
        <v>0</v>
      </c>
      <c r="AT27" s="50">
        <f t="shared" si="13"/>
        <v>0</v>
      </c>
      <c r="AU27" s="50">
        <f t="shared" si="13"/>
        <v>0</v>
      </c>
      <c r="AV27" s="50">
        <f>SUM(AR27:AU27)</f>
        <v>239</v>
      </c>
    </row>
    <row r="28" spans="1:48" x14ac:dyDescent="0.25">
      <c r="A28" s="10" t="s">
        <v>24</v>
      </c>
      <c r="B28" s="51">
        <v>0</v>
      </c>
      <c r="C28" s="51">
        <v>5</v>
      </c>
      <c r="D28" s="51"/>
      <c r="E28" s="51"/>
      <c r="F28" s="50">
        <f t="shared" ref="F28:F35" si="14">SUM(B28:E28)</f>
        <v>5</v>
      </c>
      <c r="H28" s="51">
        <v>0</v>
      </c>
      <c r="I28" s="51">
        <v>4</v>
      </c>
      <c r="J28" s="51"/>
      <c r="K28" s="51"/>
      <c r="L28" s="50">
        <f t="shared" ref="L28:L35" si="15">SUM(H28:K28)</f>
        <v>4</v>
      </c>
      <c r="N28" s="51">
        <v>0</v>
      </c>
      <c r="O28" s="51">
        <v>14</v>
      </c>
      <c r="P28" s="51"/>
      <c r="Q28" s="51"/>
      <c r="R28" s="50">
        <f t="shared" ref="R28:R35" si="16">SUM(N28:Q28)</f>
        <v>14</v>
      </c>
      <c r="T28" s="51">
        <v>0</v>
      </c>
      <c r="U28" s="51">
        <v>3</v>
      </c>
      <c r="V28" s="51"/>
      <c r="W28" s="51"/>
      <c r="X28" s="50">
        <f t="shared" ref="X28:X35" si="17">SUM(T28:W28)</f>
        <v>3</v>
      </c>
      <c r="Y28" s="193"/>
      <c r="Z28" s="51">
        <v>0</v>
      </c>
      <c r="AA28" s="51">
        <v>4.5</v>
      </c>
      <c r="AB28" s="51"/>
      <c r="AC28" s="51"/>
      <c r="AD28" s="50">
        <f t="shared" ref="AD28:AD35" si="18">SUM(Z28:AC28)</f>
        <v>4.5</v>
      </c>
      <c r="AE28" s="193"/>
      <c r="AF28" s="51">
        <v>0</v>
      </c>
      <c r="AG28" s="51">
        <v>4.5</v>
      </c>
      <c r="AH28" s="51"/>
      <c r="AI28" s="51"/>
      <c r="AJ28" s="50">
        <f t="shared" ref="AJ28:AJ35" si="19">SUM(AF28:AI28)</f>
        <v>4.5</v>
      </c>
      <c r="AL28" s="51"/>
      <c r="AM28" s="51"/>
      <c r="AN28" s="51"/>
      <c r="AO28" s="51"/>
      <c r="AP28" s="50">
        <f t="shared" ref="AP28:AP35" si="20">SUM(AL28:AO28)</f>
        <v>0</v>
      </c>
      <c r="AR28" s="50">
        <f t="shared" ref="AR28:AR35" si="21">B28+H28+N28+T28+AL28+AF28+Z28</f>
        <v>0</v>
      </c>
      <c r="AS28" s="50">
        <f t="shared" si="13"/>
        <v>35</v>
      </c>
      <c r="AT28" s="50">
        <f t="shared" si="13"/>
        <v>0</v>
      </c>
      <c r="AU28" s="50">
        <f t="shared" si="13"/>
        <v>0</v>
      </c>
      <c r="AV28" s="50">
        <f t="shared" ref="AV28:AV35" si="22">SUM(AR28:AU28)</f>
        <v>35</v>
      </c>
    </row>
    <row r="29" spans="1:48" x14ac:dyDescent="0.25">
      <c r="A29" s="10" t="s">
        <v>25</v>
      </c>
      <c r="B29" s="50">
        <v>1</v>
      </c>
      <c r="C29" s="50"/>
      <c r="D29" s="50"/>
      <c r="E29" s="50"/>
      <c r="F29" s="50">
        <f t="shared" si="14"/>
        <v>1</v>
      </c>
      <c r="H29" s="50">
        <v>1</v>
      </c>
      <c r="I29" s="50"/>
      <c r="J29" s="50"/>
      <c r="K29" s="50"/>
      <c r="L29" s="50">
        <f t="shared" si="15"/>
        <v>1</v>
      </c>
      <c r="N29" s="50">
        <v>3</v>
      </c>
      <c r="O29" s="50"/>
      <c r="P29" s="50"/>
      <c r="Q29" s="50"/>
      <c r="R29" s="50">
        <f t="shared" si="16"/>
        <v>3</v>
      </c>
      <c r="T29" s="50">
        <v>1</v>
      </c>
      <c r="U29" s="50"/>
      <c r="V29" s="50"/>
      <c r="W29" s="50"/>
      <c r="X29" s="50">
        <f t="shared" si="17"/>
        <v>1</v>
      </c>
      <c r="Y29" s="193"/>
      <c r="Z29" s="50">
        <v>1</v>
      </c>
      <c r="AA29" s="50"/>
      <c r="AB29" s="50"/>
      <c r="AC29" s="50"/>
      <c r="AD29" s="50">
        <f t="shared" si="18"/>
        <v>1</v>
      </c>
      <c r="AE29" s="193"/>
      <c r="AF29" s="50">
        <v>1</v>
      </c>
      <c r="AG29" s="50"/>
      <c r="AH29" s="50"/>
      <c r="AI29" s="50"/>
      <c r="AJ29" s="50">
        <f t="shared" si="19"/>
        <v>1</v>
      </c>
      <c r="AL29" s="50"/>
      <c r="AM29" s="50"/>
      <c r="AN29" s="50"/>
      <c r="AO29" s="50"/>
      <c r="AP29" s="50">
        <f t="shared" si="20"/>
        <v>0</v>
      </c>
      <c r="AR29" s="50">
        <f t="shared" si="21"/>
        <v>8</v>
      </c>
      <c r="AS29" s="50">
        <f t="shared" si="13"/>
        <v>0</v>
      </c>
      <c r="AT29" s="50">
        <f t="shared" si="13"/>
        <v>0</v>
      </c>
      <c r="AU29" s="50">
        <f t="shared" si="13"/>
        <v>0</v>
      </c>
      <c r="AV29" s="50">
        <f t="shared" si="22"/>
        <v>8</v>
      </c>
    </row>
    <row r="30" spans="1:48" x14ac:dyDescent="0.25">
      <c r="A30" s="10" t="s">
        <v>26</v>
      </c>
      <c r="B30" s="50">
        <v>1</v>
      </c>
      <c r="C30" s="50"/>
      <c r="D30" s="50"/>
      <c r="E30" s="50"/>
      <c r="F30" s="50">
        <f t="shared" si="14"/>
        <v>1</v>
      </c>
      <c r="H30" s="50">
        <v>1</v>
      </c>
      <c r="I30" s="50"/>
      <c r="J30" s="50"/>
      <c r="K30" s="50"/>
      <c r="L30" s="50">
        <f t="shared" si="15"/>
        <v>1</v>
      </c>
      <c r="N30" s="50">
        <v>3</v>
      </c>
      <c r="O30" s="50"/>
      <c r="P30" s="50"/>
      <c r="Q30" s="50"/>
      <c r="R30" s="50">
        <f t="shared" si="16"/>
        <v>3</v>
      </c>
      <c r="T30" s="50">
        <v>1</v>
      </c>
      <c r="U30" s="50"/>
      <c r="V30" s="50"/>
      <c r="W30" s="50"/>
      <c r="X30" s="50">
        <f t="shared" si="17"/>
        <v>1</v>
      </c>
      <c r="Y30" s="193"/>
      <c r="Z30" s="50">
        <v>1</v>
      </c>
      <c r="AA30" s="50"/>
      <c r="AB30" s="50"/>
      <c r="AC30" s="50"/>
      <c r="AD30" s="50">
        <f t="shared" si="18"/>
        <v>1</v>
      </c>
      <c r="AE30" s="193"/>
      <c r="AF30" s="50">
        <v>1</v>
      </c>
      <c r="AG30" s="50"/>
      <c r="AH30" s="50"/>
      <c r="AI30" s="50"/>
      <c r="AJ30" s="50">
        <f t="shared" si="19"/>
        <v>1</v>
      </c>
      <c r="AL30" s="50"/>
      <c r="AM30" s="50"/>
      <c r="AN30" s="50"/>
      <c r="AO30" s="50"/>
      <c r="AP30" s="50">
        <f t="shared" si="20"/>
        <v>0</v>
      </c>
      <c r="AR30" s="50">
        <f t="shared" si="21"/>
        <v>8</v>
      </c>
      <c r="AS30" s="50">
        <f t="shared" si="13"/>
        <v>0</v>
      </c>
      <c r="AT30" s="50">
        <f t="shared" si="13"/>
        <v>0</v>
      </c>
      <c r="AU30" s="50">
        <f t="shared" si="13"/>
        <v>0</v>
      </c>
      <c r="AV30" s="50">
        <f t="shared" si="22"/>
        <v>8</v>
      </c>
    </row>
    <row r="31" spans="1:48" x14ac:dyDescent="0.25">
      <c r="A31" s="10" t="s">
        <v>27</v>
      </c>
      <c r="B31" s="50">
        <v>1</v>
      </c>
      <c r="C31" s="50"/>
      <c r="D31" s="50"/>
      <c r="E31" s="50"/>
      <c r="F31" s="50">
        <f t="shared" si="14"/>
        <v>1</v>
      </c>
      <c r="H31" s="50">
        <v>1</v>
      </c>
      <c r="I31" s="50"/>
      <c r="J31" s="50"/>
      <c r="K31" s="50"/>
      <c r="L31" s="50">
        <f t="shared" si="15"/>
        <v>1</v>
      </c>
      <c r="N31" s="50">
        <v>3</v>
      </c>
      <c r="O31" s="50"/>
      <c r="P31" s="50"/>
      <c r="Q31" s="50"/>
      <c r="R31" s="50">
        <f t="shared" si="16"/>
        <v>3</v>
      </c>
      <c r="T31" s="50">
        <v>1</v>
      </c>
      <c r="U31" s="50"/>
      <c r="V31" s="50"/>
      <c r="W31" s="50"/>
      <c r="X31" s="50">
        <f t="shared" si="17"/>
        <v>1</v>
      </c>
      <c r="Y31" s="193"/>
      <c r="Z31" s="50">
        <v>2</v>
      </c>
      <c r="AA31" s="50"/>
      <c r="AB31" s="50"/>
      <c r="AC31" s="50"/>
      <c r="AD31" s="50">
        <f t="shared" si="18"/>
        <v>2</v>
      </c>
      <c r="AE31" s="193"/>
      <c r="AF31" s="50">
        <v>1</v>
      </c>
      <c r="AG31" s="50"/>
      <c r="AH31" s="50"/>
      <c r="AI31" s="50"/>
      <c r="AJ31" s="50">
        <f t="shared" si="19"/>
        <v>1</v>
      </c>
      <c r="AL31" s="50"/>
      <c r="AM31" s="50"/>
      <c r="AN31" s="50"/>
      <c r="AO31" s="50"/>
      <c r="AP31" s="50">
        <f t="shared" si="20"/>
        <v>0</v>
      </c>
      <c r="AR31" s="50">
        <f t="shared" si="21"/>
        <v>9</v>
      </c>
      <c r="AS31" s="50">
        <f t="shared" si="13"/>
        <v>0</v>
      </c>
      <c r="AT31" s="50">
        <f t="shared" si="13"/>
        <v>0</v>
      </c>
      <c r="AU31" s="50">
        <f t="shared" si="13"/>
        <v>0</v>
      </c>
      <c r="AV31" s="50">
        <f t="shared" si="22"/>
        <v>9</v>
      </c>
    </row>
    <row r="32" spans="1:48" x14ac:dyDescent="0.25">
      <c r="A32" s="11" t="s">
        <v>28</v>
      </c>
      <c r="B32" s="50">
        <v>1</v>
      </c>
      <c r="C32" s="50"/>
      <c r="D32" s="50"/>
      <c r="E32" s="50"/>
      <c r="F32" s="50">
        <f t="shared" si="14"/>
        <v>1</v>
      </c>
      <c r="H32" s="50">
        <v>1</v>
      </c>
      <c r="I32" s="50"/>
      <c r="J32" s="50"/>
      <c r="K32" s="50"/>
      <c r="L32" s="50">
        <f t="shared" si="15"/>
        <v>1</v>
      </c>
      <c r="N32" s="50">
        <v>2</v>
      </c>
      <c r="O32" s="50"/>
      <c r="P32" s="50"/>
      <c r="Q32" s="50"/>
      <c r="R32" s="50">
        <f t="shared" si="16"/>
        <v>2</v>
      </c>
      <c r="T32" s="50">
        <v>0</v>
      </c>
      <c r="U32" s="50"/>
      <c r="V32" s="50"/>
      <c r="W32" s="50"/>
      <c r="X32" s="50">
        <f t="shared" si="17"/>
        <v>0</v>
      </c>
      <c r="Y32" s="193"/>
      <c r="Z32" s="50">
        <v>0</v>
      </c>
      <c r="AA32" s="50"/>
      <c r="AB32" s="50"/>
      <c r="AC32" s="50"/>
      <c r="AD32" s="50">
        <f t="shared" si="18"/>
        <v>0</v>
      </c>
      <c r="AE32" s="193"/>
      <c r="AF32" s="50">
        <v>0</v>
      </c>
      <c r="AG32" s="50"/>
      <c r="AH32" s="50"/>
      <c r="AI32" s="50"/>
      <c r="AJ32" s="50">
        <f t="shared" si="19"/>
        <v>0</v>
      </c>
      <c r="AL32" s="50"/>
      <c r="AM32" s="50"/>
      <c r="AN32" s="50"/>
      <c r="AO32" s="50"/>
      <c r="AP32" s="50">
        <f t="shared" si="20"/>
        <v>0</v>
      </c>
      <c r="AR32" s="50">
        <f t="shared" si="21"/>
        <v>4</v>
      </c>
      <c r="AS32" s="50">
        <f t="shared" si="13"/>
        <v>0</v>
      </c>
      <c r="AT32" s="50">
        <f t="shared" si="13"/>
        <v>0</v>
      </c>
      <c r="AU32" s="50">
        <f t="shared" si="13"/>
        <v>0</v>
      </c>
      <c r="AV32" s="50">
        <f t="shared" si="22"/>
        <v>4</v>
      </c>
    </row>
    <row r="33" spans="1:48" x14ac:dyDescent="0.25">
      <c r="A33" s="11" t="s">
        <v>29</v>
      </c>
      <c r="B33" s="50">
        <v>1</v>
      </c>
      <c r="C33" s="50"/>
      <c r="D33" s="50"/>
      <c r="E33" s="50"/>
      <c r="F33" s="50">
        <f t="shared" si="14"/>
        <v>1</v>
      </c>
      <c r="H33" s="50">
        <v>1</v>
      </c>
      <c r="I33" s="50"/>
      <c r="J33" s="50"/>
      <c r="K33" s="50"/>
      <c r="L33" s="50">
        <f t="shared" si="15"/>
        <v>1</v>
      </c>
      <c r="N33" s="50">
        <v>2</v>
      </c>
      <c r="O33" s="50"/>
      <c r="P33" s="50"/>
      <c r="Q33" s="50"/>
      <c r="R33" s="50">
        <f t="shared" si="16"/>
        <v>2</v>
      </c>
      <c r="T33" s="50">
        <v>0</v>
      </c>
      <c r="U33" s="50"/>
      <c r="V33" s="50"/>
      <c r="W33" s="50"/>
      <c r="X33" s="50">
        <f t="shared" si="17"/>
        <v>0</v>
      </c>
      <c r="Y33" s="193"/>
      <c r="Z33" s="50">
        <v>0</v>
      </c>
      <c r="AA33" s="50"/>
      <c r="AB33" s="50"/>
      <c r="AC33" s="50"/>
      <c r="AD33" s="50">
        <f t="shared" si="18"/>
        <v>0</v>
      </c>
      <c r="AE33" s="193"/>
      <c r="AF33" s="50">
        <v>0</v>
      </c>
      <c r="AG33" s="50"/>
      <c r="AH33" s="50"/>
      <c r="AI33" s="50"/>
      <c r="AJ33" s="50">
        <f t="shared" si="19"/>
        <v>0</v>
      </c>
      <c r="AL33" s="50"/>
      <c r="AM33" s="50"/>
      <c r="AN33" s="50"/>
      <c r="AO33" s="50"/>
      <c r="AP33" s="50">
        <f t="shared" si="20"/>
        <v>0</v>
      </c>
      <c r="AR33" s="50">
        <f t="shared" si="21"/>
        <v>4</v>
      </c>
      <c r="AS33" s="50">
        <f t="shared" si="13"/>
        <v>0</v>
      </c>
      <c r="AT33" s="50">
        <f t="shared" si="13"/>
        <v>0</v>
      </c>
      <c r="AU33" s="50">
        <f t="shared" si="13"/>
        <v>0</v>
      </c>
      <c r="AV33" s="50">
        <f t="shared" si="22"/>
        <v>4</v>
      </c>
    </row>
    <row r="34" spans="1:48" x14ac:dyDescent="0.25">
      <c r="A34" s="11" t="s">
        <v>30</v>
      </c>
      <c r="B34" s="50">
        <v>4</v>
      </c>
      <c r="C34" s="50"/>
      <c r="D34" s="50"/>
      <c r="E34" s="50"/>
      <c r="F34" s="50">
        <f t="shared" si="14"/>
        <v>4</v>
      </c>
      <c r="H34" s="50">
        <v>4</v>
      </c>
      <c r="I34" s="50"/>
      <c r="J34" s="50"/>
      <c r="K34" s="50"/>
      <c r="L34" s="50">
        <f t="shared" si="15"/>
        <v>4</v>
      </c>
      <c r="N34" s="51">
        <v>5</v>
      </c>
      <c r="O34" s="50"/>
      <c r="P34" s="50"/>
      <c r="Q34" s="50"/>
      <c r="R34" s="50">
        <f t="shared" si="16"/>
        <v>5</v>
      </c>
      <c r="T34" s="50">
        <v>0</v>
      </c>
      <c r="U34" s="50"/>
      <c r="V34" s="50"/>
      <c r="W34" s="50"/>
      <c r="X34" s="50">
        <f t="shared" si="17"/>
        <v>0</v>
      </c>
      <c r="Y34" s="193"/>
      <c r="Z34" s="50">
        <v>2</v>
      </c>
      <c r="AA34" s="50"/>
      <c r="AB34" s="50"/>
      <c r="AC34" s="50"/>
      <c r="AD34" s="50">
        <f t="shared" si="18"/>
        <v>2</v>
      </c>
      <c r="AE34" s="193"/>
      <c r="AF34" s="50">
        <v>2</v>
      </c>
      <c r="AG34" s="50"/>
      <c r="AH34" s="50"/>
      <c r="AI34" s="50"/>
      <c r="AJ34" s="50">
        <f t="shared" si="19"/>
        <v>2</v>
      </c>
      <c r="AL34" s="50"/>
      <c r="AM34" s="50"/>
      <c r="AN34" s="50"/>
      <c r="AO34" s="50"/>
      <c r="AP34" s="50">
        <f t="shared" si="20"/>
        <v>0</v>
      </c>
      <c r="AR34" s="50">
        <f t="shared" si="21"/>
        <v>17</v>
      </c>
      <c r="AS34" s="50">
        <f t="shared" si="13"/>
        <v>0</v>
      </c>
      <c r="AT34" s="50">
        <f t="shared" si="13"/>
        <v>0</v>
      </c>
      <c r="AU34" s="50">
        <f t="shared" si="13"/>
        <v>0</v>
      </c>
      <c r="AV34" s="50">
        <f t="shared" si="22"/>
        <v>17</v>
      </c>
    </row>
    <row r="35" spans="1:48" x14ac:dyDescent="0.25">
      <c r="A35" s="12" t="s">
        <v>31</v>
      </c>
      <c r="B35" s="50">
        <v>0</v>
      </c>
      <c r="C35" s="50"/>
      <c r="D35" s="50"/>
      <c r="E35" s="50"/>
      <c r="F35" s="50">
        <f t="shared" si="14"/>
        <v>0</v>
      </c>
      <c r="H35" s="50">
        <v>0</v>
      </c>
      <c r="I35" s="50"/>
      <c r="J35" s="50"/>
      <c r="K35" s="50"/>
      <c r="L35" s="50">
        <f t="shared" si="15"/>
        <v>0</v>
      </c>
      <c r="N35" s="50">
        <v>0</v>
      </c>
      <c r="O35" s="50"/>
      <c r="P35" s="50"/>
      <c r="Q35" s="50"/>
      <c r="R35" s="50">
        <f t="shared" si="16"/>
        <v>0</v>
      </c>
      <c r="T35" s="50">
        <v>0</v>
      </c>
      <c r="U35" s="50"/>
      <c r="V35" s="50"/>
      <c r="W35" s="50"/>
      <c r="X35" s="50">
        <f t="shared" si="17"/>
        <v>0</v>
      </c>
      <c r="Y35" s="193"/>
      <c r="Z35" s="50">
        <v>0</v>
      </c>
      <c r="AA35" s="50"/>
      <c r="AB35" s="50"/>
      <c r="AC35" s="50"/>
      <c r="AD35" s="50">
        <f t="shared" si="18"/>
        <v>0</v>
      </c>
      <c r="AE35" s="193"/>
      <c r="AF35" s="50">
        <v>0</v>
      </c>
      <c r="AG35" s="50"/>
      <c r="AH35" s="50"/>
      <c r="AI35" s="50"/>
      <c r="AJ35" s="50">
        <f t="shared" si="19"/>
        <v>0</v>
      </c>
      <c r="AL35" s="50"/>
      <c r="AM35" s="50"/>
      <c r="AN35" s="50"/>
      <c r="AO35" s="50"/>
      <c r="AP35" s="50">
        <f t="shared" si="20"/>
        <v>0</v>
      </c>
      <c r="AR35" s="50">
        <f t="shared" si="21"/>
        <v>0</v>
      </c>
      <c r="AS35" s="50">
        <f t="shared" si="13"/>
        <v>0</v>
      </c>
      <c r="AT35" s="50">
        <f t="shared" si="13"/>
        <v>0</v>
      </c>
      <c r="AU35" s="50">
        <f t="shared" si="13"/>
        <v>0</v>
      </c>
      <c r="AV35" s="50">
        <f t="shared" si="22"/>
        <v>0</v>
      </c>
    </row>
    <row r="36" spans="1:48" x14ac:dyDescent="0.25">
      <c r="A36" s="9" t="s">
        <v>32</v>
      </c>
      <c r="B36" s="52">
        <f>SUM(B27:B35)</f>
        <v>45</v>
      </c>
      <c r="C36" s="52">
        <f t="shared" ref="C36:F36" si="23">SUM(C27:C35)</f>
        <v>5</v>
      </c>
      <c r="D36" s="52">
        <f t="shared" si="23"/>
        <v>0</v>
      </c>
      <c r="E36" s="52">
        <f t="shared" si="23"/>
        <v>0</v>
      </c>
      <c r="F36" s="52">
        <f t="shared" si="23"/>
        <v>50</v>
      </c>
      <c r="H36" s="52">
        <f>SUM(H27:H35)</f>
        <v>45</v>
      </c>
      <c r="I36" s="52">
        <f t="shared" ref="I36:L36" si="24">SUM(I27:I35)</f>
        <v>4</v>
      </c>
      <c r="J36" s="52">
        <f t="shared" si="24"/>
        <v>0</v>
      </c>
      <c r="K36" s="52">
        <f t="shared" si="24"/>
        <v>0</v>
      </c>
      <c r="L36" s="52">
        <f t="shared" si="24"/>
        <v>49</v>
      </c>
      <c r="N36" s="52">
        <f>SUM(N27:N35)</f>
        <v>101</v>
      </c>
      <c r="O36" s="52">
        <f t="shared" ref="O36:R36" si="25">SUM(O27:O35)</f>
        <v>14</v>
      </c>
      <c r="P36" s="52">
        <f t="shared" si="25"/>
        <v>0</v>
      </c>
      <c r="Q36" s="52">
        <f t="shared" si="25"/>
        <v>0</v>
      </c>
      <c r="R36" s="52">
        <f t="shared" si="25"/>
        <v>115</v>
      </c>
      <c r="T36" s="52">
        <f t="shared" ref="T36:X36" si="26">SUM(T27:T35)</f>
        <v>23</v>
      </c>
      <c r="U36" s="52">
        <f t="shared" si="26"/>
        <v>3</v>
      </c>
      <c r="V36" s="52">
        <f t="shared" si="26"/>
        <v>0</v>
      </c>
      <c r="W36" s="52">
        <f t="shared" si="26"/>
        <v>0</v>
      </c>
      <c r="X36" s="52">
        <f t="shared" si="26"/>
        <v>26</v>
      </c>
      <c r="Y36" s="197"/>
      <c r="Z36" s="52">
        <f t="shared" ref="Z36:AD36" si="27">SUM(Z27:Z35)</f>
        <v>37</v>
      </c>
      <c r="AA36" s="52">
        <f t="shared" si="27"/>
        <v>4.5</v>
      </c>
      <c r="AB36" s="52">
        <f t="shared" si="27"/>
        <v>0</v>
      </c>
      <c r="AC36" s="52">
        <f t="shared" si="27"/>
        <v>0</v>
      </c>
      <c r="AD36" s="52">
        <f t="shared" si="27"/>
        <v>41.5</v>
      </c>
      <c r="AE36" s="197"/>
      <c r="AF36" s="52">
        <f t="shared" ref="AF36:AJ36" si="28">SUM(AF27:AF35)</f>
        <v>38</v>
      </c>
      <c r="AG36" s="52">
        <f t="shared" si="28"/>
        <v>4.5</v>
      </c>
      <c r="AH36" s="52">
        <f t="shared" si="28"/>
        <v>0</v>
      </c>
      <c r="AI36" s="52">
        <f t="shared" si="28"/>
        <v>0</v>
      </c>
      <c r="AJ36" s="52">
        <f t="shared" si="28"/>
        <v>42.5</v>
      </c>
      <c r="AL36" s="52">
        <f>SUM(AL27:AL35)</f>
        <v>0</v>
      </c>
      <c r="AM36" s="52">
        <f t="shared" ref="AM36:AP36" si="29">SUM(AM27:AM35)</f>
        <v>0</v>
      </c>
      <c r="AN36" s="52">
        <f t="shared" si="29"/>
        <v>0</v>
      </c>
      <c r="AO36" s="52">
        <f t="shared" si="29"/>
        <v>0</v>
      </c>
      <c r="AP36" s="52">
        <f t="shared" si="29"/>
        <v>0</v>
      </c>
      <c r="AR36" s="52">
        <f>SUM(AR27:AR35)</f>
        <v>289</v>
      </c>
      <c r="AS36" s="52">
        <f t="shared" ref="AS36:AV36" si="30">SUM(AS27:AS35)</f>
        <v>35</v>
      </c>
      <c r="AT36" s="52">
        <f t="shared" si="30"/>
        <v>0</v>
      </c>
      <c r="AU36" s="52">
        <f t="shared" si="30"/>
        <v>0</v>
      </c>
      <c r="AV36" s="52">
        <f t="shared" si="30"/>
        <v>324</v>
      </c>
    </row>
    <row r="37" spans="1:48" x14ac:dyDescent="0.25">
      <c r="A37" s="13"/>
      <c r="B37" s="45"/>
      <c r="C37" s="45"/>
      <c r="D37" s="45"/>
      <c r="E37" s="45"/>
      <c r="F37" s="45"/>
      <c r="H37" s="45"/>
      <c r="I37" s="45"/>
      <c r="J37" s="45"/>
      <c r="K37" s="45"/>
      <c r="L37" s="45"/>
      <c r="N37" s="45"/>
      <c r="O37" s="45"/>
      <c r="P37" s="45"/>
      <c r="Q37" s="45"/>
      <c r="R37" s="45"/>
      <c r="T37" s="45"/>
      <c r="U37" s="45"/>
      <c r="V37" s="45"/>
      <c r="W37" s="45"/>
      <c r="X37" s="45"/>
      <c r="Y37" s="196"/>
      <c r="Z37" s="45"/>
      <c r="AA37" s="45"/>
      <c r="AB37" s="45"/>
      <c r="AC37" s="45"/>
      <c r="AD37" s="45"/>
      <c r="AE37" s="196"/>
      <c r="AF37" s="45"/>
      <c r="AG37" s="45"/>
      <c r="AH37" s="45"/>
      <c r="AI37" s="45"/>
      <c r="AJ37" s="45"/>
      <c r="AL37" s="45"/>
      <c r="AM37" s="45"/>
      <c r="AN37" s="45"/>
      <c r="AO37" s="45"/>
      <c r="AP37" s="45"/>
      <c r="AR37" s="45"/>
      <c r="AS37" s="45"/>
      <c r="AT37" s="45"/>
      <c r="AU37" s="45"/>
      <c r="AV37" s="45"/>
    </row>
    <row r="38" spans="1:48" x14ac:dyDescent="0.25">
      <c r="A38" s="9" t="s">
        <v>33</v>
      </c>
      <c r="B38" s="46" t="s">
        <v>157</v>
      </c>
      <c r="C38" s="46" t="s">
        <v>158</v>
      </c>
      <c r="D38" s="46" t="s">
        <v>159</v>
      </c>
      <c r="E38" s="46" t="str">
        <f>E20</f>
        <v>Other</v>
      </c>
      <c r="F38" s="46" t="str">
        <f>F20</f>
        <v>FY29- Mtn</v>
      </c>
      <c r="H38" s="46" t="s">
        <v>157</v>
      </c>
      <c r="I38" s="46" t="s">
        <v>158</v>
      </c>
      <c r="J38" s="46" t="s">
        <v>159</v>
      </c>
      <c r="K38" s="46" t="str">
        <f>K20</f>
        <v>Other</v>
      </c>
      <c r="L38" s="46" t="str">
        <f>L20</f>
        <v>FY29- Bon</v>
      </c>
      <c r="N38" s="46" t="s">
        <v>157</v>
      </c>
      <c r="O38" s="46" t="s">
        <v>158</v>
      </c>
      <c r="P38" s="46" t="s">
        <v>159</v>
      </c>
      <c r="Q38" s="46" t="str">
        <f>Q20</f>
        <v>Other</v>
      </c>
      <c r="R38" s="46" t="str">
        <f>R20</f>
        <v>FY29- East</v>
      </c>
      <c r="T38" s="46" t="s">
        <v>157</v>
      </c>
      <c r="U38" s="46" t="s">
        <v>158</v>
      </c>
      <c r="V38" s="46" t="s">
        <v>159</v>
      </c>
      <c r="W38" s="46" t="str">
        <f>W20</f>
        <v>Other</v>
      </c>
      <c r="X38" s="46" t="str">
        <f>X20</f>
        <v>FY29- Cactus</v>
      </c>
      <c r="Y38" s="195"/>
      <c r="Z38" s="46" t="s">
        <v>157</v>
      </c>
      <c r="AA38" s="46" t="s">
        <v>158</v>
      </c>
      <c r="AB38" s="46" t="s">
        <v>159</v>
      </c>
      <c r="AC38" s="46" t="str">
        <f>AC20</f>
        <v>Other</v>
      </c>
      <c r="AD38" s="46" t="str">
        <f>AD20</f>
        <v>FY29- Sahara</v>
      </c>
      <c r="AE38" s="195"/>
      <c r="AF38" s="46" t="s">
        <v>157</v>
      </c>
      <c r="AG38" s="46" t="s">
        <v>158</v>
      </c>
      <c r="AH38" s="46" t="s">
        <v>159</v>
      </c>
      <c r="AI38" s="46" t="str">
        <f>AI20</f>
        <v>Other</v>
      </c>
      <c r="AJ38" s="46" t="str">
        <f>AJ20</f>
        <v>FY29- VV</v>
      </c>
      <c r="AL38" s="46" t="s">
        <v>157</v>
      </c>
      <c r="AM38" s="46" t="s">
        <v>158</v>
      </c>
      <c r="AN38" s="46" t="s">
        <v>159</v>
      </c>
      <c r="AO38" s="46" t="str">
        <f>AO20</f>
        <v>Grant</v>
      </c>
      <c r="AP38" s="46" t="str">
        <f>AP20</f>
        <v>FY29 - Central</v>
      </c>
      <c r="AR38" s="46" t="s">
        <v>157</v>
      </c>
      <c r="AS38" s="46" t="s">
        <v>158</v>
      </c>
      <c r="AT38" s="46" t="s">
        <v>159</v>
      </c>
      <c r="AU38" s="46" t="str">
        <f>AU20</f>
        <v>Other</v>
      </c>
      <c r="AV38" s="46" t="str">
        <f>AV20</f>
        <v>FY29- Sys</v>
      </c>
    </row>
    <row r="39" spans="1:48" x14ac:dyDescent="0.25">
      <c r="A39" s="11" t="s">
        <v>34</v>
      </c>
      <c r="B39" s="50">
        <v>1</v>
      </c>
      <c r="C39" s="51"/>
      <c r="D39" s="51"/>
      <c r="E39" s="51"/>
      <c r="F39" s="51">
        <f>SUM(B39:E39)</f>
        <v>1</v>
      </c>
      <c r="H39" s="50">
        <v>1</v>
      </c>
      <c r="I39" s="51"/>
      <c r="J39" s="51"/>
      <c r="K39" s="51"/>
      <c r="L39" s="51">
        <f>SUM(H39:K39)</f>
        <v>1</v>
      </c>
      <c r="N39" s="50">
        <v>1</v>
      </c>
      <c r="O39" s="51"/>
      <c r="P39" s="51"/>
      <c r="Q39" s="51"/>
      <c r="R39" s="51">
        <f>SUM(N39:Q39)</f>
        <v>1</v>
      </c>
      <c r="T39" s="50">
        <v>1</v>
      </c>
      <c r="U39" s="51"/>
      <c r="V39" s="51"/>
      <c r="W39" s="51"/>
      <c r="X39" s="51">
        <f>SUM(T39:W39)</f>
        <v>1</v>
      </c>
      <c r="Y39" s="193"/>
      <c r="Z39" s="51">
        <v>1</v>
      </c>
      <c r="AA39" s="51"/>
      <c r="AB39" s="51"/>
      <c r="AC39" s="51"/>
      <c r="AD39" s="51">
        <f>SUM(Z39:AC39)</f>
        <v>1</v>
      </c>
      <c r="AE39" s="193"/>
      <c r="AF39" s="50">
        <v>1</v>
      </c>
      <c r="AG39" s="51"/>
      <c r="AH39" s="51"/>
      <c r="AI39" s="51"/>
      <c r="AJ39" s="51">
        <f>SUM(AF39:AI39)</f>
        <v>1</v>
      </c>
      <c r="AL39" s="50"/>
      <c r="AM39" s="51"/>
      <c r="AN39" s="51"/>
      <c r="AO39" s="51"/>
      <c r="AP39" s="51">
        <f>SUM(AL39:AO39)</f>
        <v>0</v>
      </c>
      <c r="AR39" s="50">
        <f>B39+H39+N39+T39+AL39+AF39+Z39</f>
        <v>6</v>
      </c>
      <c r="AS39" s="50">
        <f t="shared" ref="AS39:AU54" si="31">C39+I39+O39+U39+AM39+AG39+AA39</f>
        <v>0</v>
      </c>
      <c r="AT39" s="50">
        <f t="shared" si="31"/>
        <v>0</v>
      </c>
      <c r="AU39" s="50">
        <f t="shared" si="31"/>
        <v>0</v>
      </c>
      <c r="AV39" s="51">
        <f>SUM(AR39:AU39)</f>
        <v>6</v>
      </c>
    </row>
    <row r="40" spans="1:48" x14ac:dyDescent="0.25">
      <c r="A40" s="11" t="s">
        <v>35</v>
      </c>
      <c r="B40" s="50">
        <v>3</v>
      </c>
      <c r="C40" s="51"/>
      <c r="D40" s="51"/>
      <c r="E40" s="51"/>
      <c r="F40" s="51">
        <f t="shared" ref="F40:F60" si="32">SUM(B40:E40)</f>
        <v>3</v>
      </c>
      <c r="H40" s="50">
        <v>4</v>
      </c>
      <c r="I40" s="51"/>
      <c r="J40" s="51"/>
      <c r="K40" s="51"/>
      <c r="L40" s="51">
        <f t="shared" ref="L40:L60" si="33">SUM(H40:K40)</f>
        <v>4</v>
      </c>
      <c r="N40" s="50">
        <v>5</v>
      </c>
      <c r="O40" s="51"/>
      <c r="P40" s="51"/>
      <c r="Q40" s="51"/>
      <c r="R40" s="51">
        <f t="shared" ref="R40:R60" si="34">SUM(N40:Q40)</f>
        <v>5</v>
      </c>
      <c r="T40" s="50">
        <v>0</v>
      </c>
      <c r="U40" s="51"/>
      <c r="V40" s="51"/>
      <c r="W40" s="51"/>
      <c r="X40" s="51">
        <f t="shared" ref="X40:X60" si="35">SUM(T40:W40)</f>
        <v>0</v>
      </c>
      <c r="Y40" s="193"/>
      <c r="Z40" s="210">
        <v>2</v>
      </c>
      <c r="AA40" s="51"/>
      <c r="AB40" s="51"/>
      <c r="AC40" s="51"/>
      <c r="AD40" s="51">
        <f t="shared" ref="AD40:AD60" si="36">SUM(Z40:AC40)</f>
        <v>2</v>
      </c>
      <c r="AE40" s="193"/>
      <c r="AF40" s="50">
        <v>2</v>
      </c>
      <c r="AG40" s="51"/>
      <c r="AH40" s="51"/>
      <c r="AI40" s="51"/>
      <c r="AJ40" s="51">
        <f t="shared" ref="AJ40:AJ60" si="37">SUM(AF40:AI40)</f>
        <v>2</v>
      </c>
      <c r="AL40" s="50"/>
      <c r="AM40" s="51">
        <v>1</v>
      </c>
      <c r="AN40" s="51"/>
      <c r="AO40" s="51"/>
      <c r="AP40" s="51">
        <f t="shared" ref="AP40:AP60" si="38">SUM(AL40:AO40)</f>
        <v>1</v>
      </c>
      <c r="AR40" s="50">
        <f t="shared" ref="AR40:AU60" si="39">B40+H40+N40+T40+AL40+AF40+Z40</f>
        <v>16</v>
      </c>
      <c r="AS40" s="50">
        <f t="shared" si="31"/>
        <v>1</v>
      </c>
      <c r="AT40" s="50">
        <f t="shared" si="31"/>
        <v>0</v>
      </c>
      <c r="AU40" s="50">
        <f t="shared" si="31"/>
        <v>0</v>
      </c>
      <c r="AV40" s="51">
        <f t="shared" ref="AV40:AV60" si="40">SUM(AR40:AU40)</f>
        <v>17</v>
      </c>
    </row>
    <row r="41" spans="1:48" x14ac:dyDescent="0.25">
      <c r="A41" s="14" t="s">
        <v>36</v>
      </c>
      <c r="B41" s="50">
        <v>1</v>
      </c>
      <c r="C41" s="51"/>
      <c r="D41" s="51"/>
      <c r="E41" s="51"/>
      <c r="F41" s="51">
        <f t="shared" si="32"/>
        <v>1</v>
      </c>
      <c r="H41" s="50">
        <v>1</v>
      </c>
      <c r="I41" s="51"/>
      <c r="J41" s="51"/>
      <c r="K41" s="51"/>
      <c r="L41" s="51">
        <f t="shared" si="33"/>
        <v>1</v>
      </c>
      <c r="N41" s="50">
        <v>1</v>
      </c>
      <c r="O41" s="51"/>
      <c r="P41" s="51"/>
      <c r="Q41" s="51"/>
      <c r="R41" s="51">
        <f t="shared" si="34"/>
        <v>1</v>
      </c>
      <c r="T41" s="50"/>
      <c r="U41" s="51"/>
      <c r="V41" s="51"/>
      <c r="W41" s="51"/>
      <c r="X41" s="51">
        <f t="shared" si="35"/>
        <v>0</v>
      </c>
      <c r="Y41" s="193"/>
      <c r="Z41" s="51"/>
      <c r="AA41" s="51"/>
      <c r="AB41" s="51"/>
      <c r="AC41" s="51"/>
      <c r="AD41" s="51">
        <f t="shared" si="36"/>
        <v>0</v>
      </c>
      <c r="AE41" s="193"/>
      <c r="AF41" s="50">
        <v>1</v>
      </c>
      <c r="AG41" s="51"/>
      <c r="AH41" s="51"/>
      <c r="AI41" s="51"/>
      <c r="AJ41" s="51">
        <f t="shared" si="37"/>
        <v>1</v>
      </c>
      <c r="AL41" s="50"/>
      <c r="AM41" s="51"/>
      <c r="AN41" s="51"/>
      <c r="AO41" s="51">
        <v>2</v>
      </c>
      <c r="AP41" s="51">
        <f t="shared" si="38"/>
        <v>2</v>
      </c>
      <c r="AR41" s="50">
        <f t="shared" si="39"/>
        <v>4</v>
      </c>
      <c r="AS41" s="50">
        <f t="shared" si="31"/>
        <v>0</v>
      </c>
      <c r="AT41" s="50">
        <f t="shared" si="31"/>
        <v>0</v>
      </c>
      <c r="AU41" s="50">
        <f t="shared" si="31"/>
        <v>2</v>
      </c>
      <c r="AV41" s="51">
        <f t="shared" si="40"/>
        <v>6</v>
      </c>
    </row>
    <row r="42" spans="1:48" x14ac:dyDescent="0.25">
      <c r="A42" s="11" t="s">
        <v>37</v>
      </c>
      <c r="B42" s="50"/>
      <c r="C42" s="51"/>
      <c r="D42" s="51"/>
      <c r="E42" s="51"/>
      <c r="F42" s="51">
        <f t="shared" si="32"/>
        <v>0</v>
      </c>
      <c r="H42" s="50"/>
      <c r="I42" s="51"/>
      <c r="J42" s="51"/>
      <c r="K42" s="51"/>
      <c r="L42" s="51">
        <f t="shared" si="33"/>
        <v>0</v>
      </c>
      <c r="N42" s="50"/>
      <c r="O42" s="51"/>
      <c r="P42" s="51"/>
      <c r="Q42" s="51"/>
      <c r="R42" s="51">
        <f t="shared" si="34"/>
        <v>0</v>
      </c>
      <c r="T42" s="50">
        <v>0</v>
      </c>
      <c r="U42" s="51"/>
      <c r="V42" s="51"/>
      <c r="W42" s="51"/>
      <c r="X42" s="51">
        <f t="shared" si="35"/>
        <v>0</v>
      </c>
      <c r="Y42" s="193"/>
      <c r="Z42" s="51">
        <v>0</v>
      </c>
      <c r="AA42" s="51"/>
      <c r="AB42" s="51"/>
      <c r="AC42" s="51"/>
      <c r="AD42" s="51">
        <f t="shared" si="36"/>
        <v>0</v>
      </c>
      <c r="AE42" s="193"/>
      <c r="AF42" s="50">
        <v>0</v>
      </c>
      <c r="AG42" s="51"/>
      <c r="AH42" s="51"/>
      <c r="AI42" s="51"/>
      <c r="AJ42" s="51">
        <f t="shared" si="37"/>
        <v>0</v>
      </c>
      <c r="AL42" s="50"/>
      <c r="AM42" s="51"/>
      <c r="AN42" s="51"/>
      <c r="AO42" s="51"/>
      <c r="AP42" s="51">
        <f t="shared" si="38"/>
        <v>0</v>
      </c>
      <c r="AR42" s="50">
        <f t="shared" si="39"/>
        <v>0</v>
      </c>
      <c r="AS42" s="50">
        <f t="shared" si="31"/>
        <v>0</v>
      </c>
      <c r="AT42" s="50">
        <f t="shared" si="31"/>
        <v>0</v>
      </c>
      <c r="AU42" s="50">
        <f t="shared" si="31"/>
        <v>0</v>
      </c>
      <c r="AV42" s="51">
        <f t="shared" si="40"/>
        <v>0</v>
      </c>
    </row>
    <row r="43" spans="1:48" x14ac:dyDescent="0.25">
      <c r="A43" s="11" t="s">
        <v>38</v>
      </c>
      <c r="B43" s="50">
        <v>2</v>
      </c>
      <c r="C43" s="51"/>
      <c r="D43" s="51"/>
      <c r="E43" s="51"/>
      <c r="F43" s="51">
        <f t="shared" si="32"/>
        <v>2</v>
      </c>
      <c r="H43" s="50">
        <v>1.5</v>
      </c>
      <c r="I43" s="51"/>
      <c r="J43" s="51"/>
      <c r="K43" s="51"/>
      <c r="L43" s="51">
        <f t="shared" si="33"/>
        <v>1.5</v>
      </c>
      <c r="N43" s="50">
        <v>4</v>
      </c>
      <c r="O43" s="51"/>
      <c r="P43" s="51"/>
      <c r="Q43" s="51"/>
      <c r="R43" s="51">
        <f t="shared" si="34"/>
        <v>4</v>
      </c>
      <c r="T43" s="50">
        <v>1</v>
      </c>
      <c r="U43" s="51"/>
      <c r="V43" s="51"/>
      <c r="W43" s="51"/>
      <c r="X43" s="51">
        <f t="shared" si="35"/>
        <v>1</v>
      </c>
      <c r="Y43" s="193"/>
      <c r="Z43" s="51">
        <v>1</v>
      </c>
      <c r="AA43" s="51"/>
      <c r="AB43" s="51"/>
      <c r="AC43" s="51"/>
      <c r="AD43" s="51">
        <f t="shared" si="36"/>
        <v>1</v>
      </c>
      <c r="AE43" s="193"/>
      <c r="AF43" s="50">
        <v>0</v>
      </c>
      <c r="AG43" s="51"/>
      <c r="AH43" s="51"/>
      <c r="AI43" s="51"/>
      <c r="AJ43" s="51">
        <f t="shared" si="37"/>
        <v>0</v>
      </c>
      <c r="AL43" s="50"/>
      <c r="AM43" s="51"/>
      <c r="AN43" s="51"/>
      <c r="AO43" s="51">
        <v>3</v>
      </c>
      <c r="AP43" s="51">
        <f t="shared" si="38"/>
        <v>3</v>
      </c>
      <c r="AR43" s="50">
        <f t="shared" si="39"/>
        <v>9.5</v>
      </c>
      <c r="AS43" s="50">
        <f t="shared" si="31"/>
        <v>0</v>
      </c>
      <c r="AT43" s="50">
        <f t="shared" si="31"/>
        <v>0</v>
      </c>
      <c r="AU43" s="50">
        <f t="shared" si="31"/>
        <v>3</v>
      </c>
      <c r="AV43" s="51">
        <f t="shared" si="40"/>
        <v>12.5</v>
      </c>
    </row>
    <row r="44" spans="1:48" x14ac:dyDescent="0.25">
      <c r="A44" s="11" t="s">
        <v>39</v>
      </c>
      <c r="B44" s="50">
        <v>2</v>
      </c>
      <c r="C44" s="51"/>
      <c r="D44" s="51"/>
      <c r="E44" s="51"/>
      <c r="F44" s="51">
        <f t="shared" si="32"/>
        <v>2</v>
      </c>
      <c r="H44" s="50">
        <v>2</v>
      </c>
      <c r="I44" s="51"/>
      <c r="J44" s="51"/>
      <c r="K44" s="51"/>
      <c r="L44" s="51">
        <f t="shared" si="33"/>
        <v>2</v>
      </c>
      <c r="N44" s="50">
        <v>5</v>
      </c>
      <c r="O44" s="51"/>
      <c r="P44" s="51"/>
      <c r="Q44" s="51"/>
      <c r="R44" s="51">
        <f t="shared" si="34"/>
        <v>5</v>
      </c>
      <c r="T44" s="50"/>
      <c r="U44" s="51"/>
      <c r="V44" s="51"/>
      <c r="W44" s="51"/>
      <c r="X44" s="51">
        <f t="shared" si="35"/>
        <v>0</v>
      </c>
      <c r="Y44" s="193"/>
      <c r="Z44" s="210">
        <v>1</v>
      </c>
      <c r="AA44" s="51"/>
      <c r="AB44" s="51"/>
      <c r="AC44" s="51"/>
      <c r="AD44" s="51">
        <f t="shared" si="36"/>
        <v>1</v>
      </c>
      <c r="AE44" s="193"/>
      <c r="AF44" s="50">
        <v>1</v>
      </c>
      <c r="AG44" s="51"/>
      <c r="AH44" s="51"/>
      <c r="AI44" s="51"/>
      <c r="AJ44" s="51">
        <f t="shared" si="37"/>
        <v>1</v>
      </c>
      <c r="AL44" s="50"/>
      <c r="AM44" s="51"/>
      <c r="AN44" s="51"/>
      <c r="AO44" s="51">
        <v>2</v>
      </c>
      <c r="AP44" s="51">
        <f t="shared" si="38"/>
        <v>2</v>
      </c>
      <c r="AR44" s="50">
        <f t="shared" si="39"/>
        <v>11</v>
      </c>
      <c r="AS44" s="50">
        <f t="shared" si="31"/>
        <v>0</v>
      </c>
      <c r="AT44" s="50">
        <f t="shared" si="31"/>
        <v>0</v>
      </c>
      <c r="AU44" s="50">
        <f t="shared" si="31"/>
        <v>2</v>
      </c>
      <c r="AV44" s="51">
        <f t="shared" si="40"/>
        <v>13</v>
      </c>
    </row>
    <row r="45" spans="1:48" x14ac:dyDescent="0.25">
      <c r="A45" s="11" t="s">
        <v>40</v>
      </c>
      <c r="B45" s="50">
        <v>2</v>
      </c>
      <c r="C45" s="51"/>
      <c r="D45" s="51"/>
      <c r="E45" s="51"/>
      <c r="F45" s="51">
        <f t="shared" si="32"/>
        <v>2</v>
      </c>
      <c r="H45" s="50">
        <v>1</v>
      </c>
      <c r="I45" s="51"/>
      <c r="J45" s="51"/>
      <c r="K45" s="51"/>
      <c r="L45" s="51">
        <f t="shared" si="33"/>
        <v>1</v>
      </c>
      <c r="N45" s="50"/>
      <c r="O45" s="51"/>
      <c r="P45" s="51"/>
      <c r="Q45" s="51"/>
      <c r="R45" s="51">
        <f t="shared" si="34"/>
        <v>0</v>
      </c>
      <c r="T45" s="50"/>
      <c r="U45" s="51"/>
      <c r="V45" s="51"/>
      <c r="W45" s="51"/>
      <c r="X45" s="51">
        <f t="shared" si="35"/>
        <v>0</v>
      </c>
      <c r="Y45" s="193"/>
      <c r="Z45" s="51"/>
      <c r="AA45" s="51"/>
      <c r="AB45" s="51"/>
      <c r="AC45" s="51"/>
      <c r="AD45" s="51">
        <f t="shared" si="36"/>
        <v>0</v>
      </c>
      <c r="AE45" s="193"/>
      <c r="AF45" s="50">
        <v>1</v>
      </c>
      <c r="AG45" s="51"/>
      <c r="AH45" s="51"/>
      <c r="AI45" s="51"/>
      <c r="AJ45" s="51">
        <f t="shared" si="37"/>
        <v>1</v>
      </c>
      <c r="AL45" s="50">
        <v>1</v>
      </c>
      <c r="AM45" s="51"/>
      <c r="AN45" s="51"/>
      <c r="AO45" s="51"/>
      <c r="AP45" s="51">
        <f t="shared" si="38"/>
        <v>1</v>
      </c>
      <c r="AR45" s="50">
        <f t="shared" si="39"/>
        <v>5</v>
      </c>
      <c r="AS45" s="50">
        <f t="shared" si="31"/>
        <v>0</v>
      </c>
      <c r="AT45" s="50">
        <f t="shared" si="31"/>
        <v>0</v>
      </c>
      <c r="AU45" s="50">
        <f t="shared" si="31"/>
        <v>0</v>
      </c>
      <c r="AV45" s="51">
        <f t="shared" si="40"/>
        <v>5</v>
      </c>
    </row>
    <row r="46" spans="1:48" x14ac:dyDescent="0.25">
      <c r="A46" s="11" t="s">
        <v>41</v>
      </c>
      <c r="B46" s="50">
        <v>2</v>
      </c>
      <c r="C46" s="51"/>
      <c r="D46" s="51"/>
      <c r="E46" s="51"/>
      <c r="F46" s="51">
        <f t="shared" si="32"/>
        <v>2</v>
      </c>
      <c r="H46" s="50">
        <v>2</v>
      </c>
      <c r="I46" s="51"/>
      <c r="J46" s="51"/>
      <c r="K46" s="51"/>
      <c r="L46" s="51">
        <f t="shared" si="33"/>
        <v>2</v>
      </c>
      <c r="N46" s="50">
        <v>3</v>
      </c>
      <c r="O46" s="51"/>
      <c r="P46" s="51"/>
      <c r="Q46" s="51"/>
      <c r="R46" s="51">
        <f t="shared" si="34"/>
        <v>3</v>
      </c>
      <c r="T46" s="50">
        <v>1</v>
      </c>
      <c r="U46" s="51"/>
      <c r="V46" s="51"/>
      <c r="W46" s="51"/>
      <c r="X46" s="51">
        <f t="shared" si="35"/>
        <v>1</v>
      </c>
      <c r="Y46" s="193"/>
      <c r="Z46" s="51">
        <v>1</v>
      </c>
      <c r="AA46" s="51"/>
      <c r="AB46" s="51"/>
      <c r="AC46" s="51"/>
      <c r="AD46" s="51">
        <f t="shared" si="36"/>
        <v>1</v>
      </c>
      <c r="AE46" s="193"/>
      <c r="AF46" s="50">
        <v>1</v>
      </c>
      <c r="AG46" s="51"/>
      <c r="AH46" s="51"/>
      <c r="AI46" s="51"/>
      <c r="AJ46" s="51">
        <f t="shared" si="37"/>
        <v>1</v>
      </c>
      <c r="AL46" s="50">
        <v>1</v>
      </c>
      <c r="AM46" s="51"/>
      <c r="AN46" s="51"/>
      <c r="AO46" s="51"/>
      <c r="AP46" s="51">
        <f t="shared" si="38"/>
        <v>1</v>
      </c>
      <c r="AR46" s="50">
        <f t="shared" si="39"/>
        <v>11</v>
      </c>
      <c r="AS46" s="50">
        <f t="shared" si="31"/>
        <v>0</v>
      </c>
      <c r="AT46" s="50">
        <f t="shared" si="31"/>
        <v>0</v>
      </c>
      <c r="AU46" s="50">
        <f t="shared" si="31"/>
        <v>0</v>
      </c>
      <c r="AV46" s="51">
        <f t="shared" si="40"/>
        <v>11</v>
      </c>
    </row>
    <row r="47" spans="1:48" x14ac:dyDescent="0.25">
      <c r="A47" s="11" t="s">
        <v>42</v>
      </c>
      <c r="B47" s="50">
        <v>1</v>
      </c>
      <c r="C47" s="51"/>
      <c r="D47" s="51"/>
      <c r="E47" s="51"/>
      <c r="F47" s="51">
        <f t="shared" si="32"/>
        <v>1</v>
      </c>
      <c r="H47" s="50">
        <v>1</v>
      </c>
      <c r="I47" s="51"/>
      <c r="J47" s="51"/>
      <c r="K47" s="51"/>
      <c r="L47" s="51">
        <f t="shared" si="33"/>
        <v>1</v>
      </c>
      <c r="N47" s="50">
        <v>2</v>
      </c>
      <c r="O47" s="51"/>
      <c r="P47" s="51"/>
      <c r="Q47" s="51"/>
      <c r="R47" s="51">
        <f t="shared" si="34"/>
        <v>2</v>
      </c>
      <c r="T47" s="50">
        <v>0</v>
      </c>
      <c r="U47" s="51"/>
      <c r="V47" s="51"/>
      <c r="W47" s="51"/>
      <c r="X47" s="51">
        <f t="shared" si="35"/>
        <v>0</v>
      </c>
      <c r="Y47" s="193"/>
      <c r="Z47" s="51">
        <v>1</v>
      </c>
      <c r="AA47" s="51"/>
      <c r="AB47" s="51"/>
      <c r="AC47" s="51"/>
      <c r="AD47" s="51">
        <f t="shared" si="36"/>
        <v>1</v>
      </c>
      <c r="AE47" s="193"/>
      <c r="AF47" s="50">
        <v>1</v>
      </c>
      <c r="AG47" s="51"/>
      <c r="AH47" s="51"/>
      <c r="AI47" s="51"/>
      <c r="AJ47" s="51">
        <f t="shared" si="37"/>
        <v>1</v>
      </c>
      <c r="AL47" s="50"/>
      <c r="AM47" s="51"/>
      <c r="AN47" s="51"/>
      <c r="AO47" s="51"/>
      <c r="AP47" s="51">
        <f t="shared" si="38"/>
        <v>0</v>
      </c>
      <c r="AR47" s="50">
        <f t="shared" si="39"/>
        <v>6</v>
      </c>
      <c r="AS47" s="50">
        <f t="shared" si="31"/>
        <v>0</v>
      </c>
      <c r="AT47" s="50">
        <f t="shared" si="31"/>
        <v>0</v>
      </c>
      <c r="AU47" s="50">
        <f t="shared" si="31"/>
        <v>0</v>
      </c>
      <c r="AV47" s="51">
        <f t="shared" si="40"/>
        <v>6</v>
      </c>
    </row>
    <row r="48" spans="1:48" x14ac:dyDescent="0.25">
      <c r="A48" s="11" t="s">
        <v>43</v>
      </c>
      <c r="B48" s="50">
        <v>1</v>
      </c>
      <c r="C48" s="51"/>
      <c r="D48" s="51"/>
      <c r="E48" s="51"/>
      <c r="F48" s="51">
        <f t="shared" si="32"/>
        <v>1</v>
      </c>
      <c r="H48" s="50">
        <v>1</v>
      </c>
      <c r="I48" s="51"/>
      <c r="J48" s="51"/>
      <c r="K48" s="51"/>
      <c r="L48" s="51">
        <f t="shared" si="33"/>
        <v>1</v>
      </c>
      <c r="N48" s="50">
        <v>3</v>
      </c>
      <c r="O48" s="51"/>
      <c r="P48" s="51"/>
      <c r="Q48" s="51"/>
      <c r="R48" s="51">
        <f t="shared" si="34"/>
        <v>3</v>
      </c>
      <c r="T48" s="50"/>
      <c r="U48" s="51"/>
      <c r="V48" s="51"/>
      <c r="W48" s="51"/>
      <c r="X48" s="51">
        <f t="shared" si="35"/>
        <v>0</v>
      </c>
      <c r="Y48" s="193"/>
      <c r="Z48" s="51">
        <v>1</v>
      </c>
      <c r="AA48" s="51"/>
      <c r="AB48" s="51"/>
      <c r="AC48" s="51"/>
      <c r="AD48" s="51">
        <f t="shared" si="36"/>
        <v>1</v>
      </c>
      <c r="AE48" s="193"/>
      <c r="AF48" s="50">
        <v>1</v>
      </c>
      <c r="AG48" s="51"/>
      <c r="AH48" s="51"/>
      <c r="AI48" s="51"/>
      <c r="AJ48" s="51">
        <f t="shared" si="37"/>
        <v>1</v>
      </c>
      <c r="AL48" s="50"/>
      <c r="AM48" s="51"/>
      <c r="AN48" s="51"/>
      <c r="AO48" s="51"/>
      <c r="AP48" s="51">
        <f t="shared" si="38"/>
        <v>0</v>
      </c>
      <c r="AR48" s="50">
        <f t="shared" si="39"/>
        <v>7</v>
      </c>
      <c r="AS48" s="50">
        <f t="shared" si="31"/>
        <v>0</v>
      </c>
      <c r="AT48" s="50">
        <f t="shared" si="31"/>
        <v>0</v>
      </c>
      <c r="AU48" s="50">
        <f t="shared" si="31"/>
        <v>0</v>
      </c>
      <c r="AV48" s="51">
        <f t="shared" si="40"/>
        <v>7</v>
      </c>
    </row>
    <row r="49" spans="1:48" x14ac:dyDescent="0.25">
      <c r="A49" s="11" t="s">
        <v>44</v>
      </c>
      <c r="B49" s="50">
        <v>2</v>
      </c>
      <c r="C49" s="51"/>
      <c r="D49" s="51"/>
      <c r="E49" s="51"/>
      <c r="F49" s="51">
        <f t="shared" si="32"/>
        <v>2</v>
      </c>
      <c r="H49" s="50">
        <v>2</v>
      </c>
      <c r="I49" s="51"/>
      <c r="J49" s="51"/>
      <c r="K49" s="51"/>
      <c r="L49" s="51">
        <f t="shared" si="33"/>
        <v>2</v>
      </c>
      <c r="N49" s="50">
        <v>4</v>
      </c>
      <c r="O49" s="51"/>
      <c r="P49" s="51"/>
      <c r="Q49" s="51"/>
      <c r="R49" s="51">
        <f t="shared" si="34"/>
        <v>4</v>
      </c>
      <c r="T49" s="50">
        <v>1</v>
      </c>
      <c r="U49" s="51"/>
      <c r="V49" s="51"/>
      <c r="W49" s="51"/>
      <c r="X49" s="51">
        <f t="shared" si="35"/>
        <v>1</v>
      </c>
      <c r="Y49" s="193"/>
      <c r="Z49" s="51">
        <v>1</v>
      </c>
      <c r="AA49" s="51"/>
      <c r="AB49" s="51"/>
      <c r="AC49" s="51"/>
      <c r="AD49" s="51">
        <f t="shared" si="36"/>
        <v>1</v>
      </c>
      <c r="AE49" s="193"/>
      <c r="AF49" s="50">
        <v>1</v>
      </c>
      <c r="AG49" s="51"/>
      <c r="AH49" s="51"/>
      <c r="AI49" s="51"/>
      <c r="AJ49" s="51">
        <f t="shared" si="37"/>
        <v>1</v>
      </c>
      <c r="AL49" s="50"/>
      <c r="AM49" s="51"/>
      <c r="AN49" s="51"/>
      <c r="AO49" s="51"/>
      <c r="AP49" s="51">
        <f t="shared" si="38"/>
        <v>0</v>
      </c>
      <c r="AR49" s="50">
        <f t="shared" si="39"/>
        <v>11</v>
      </c>
      <c r="AS49" s="50">
        <f t="shared" si="31"/>
        <v>0</v>
      </c>
      <c r="AT49" s="50">
        <f t="shared" si="31"/>
        <v>0</v>
      </c>
      <c r="AU49" s="50">
        <f t="shared" si="31"/>
        <v>0</v>
      </c>
      <c r="AV49" s="51">
        <f t="shared" si="40"/>
        <v>11</v>
      </c>
    </row>
    <row r="50" spans="1:48" x14ac:dyDescent="0.25">
      <c r="A50" s="11" t="s">
        <v>45</v>
      </c>
      <c r="B50" s="51">
        <v>10</v>
      </c>
      <c r="C50" s="51">
        <v>5</v>
      </c>
      <c r="D50" s="51"/>
      <c r="E50" s="51"/>
      <c r="F50" s="51">
        <f t="shared" si="32"/>
        <v>15</v>
      </c>
      <c r="H50" s="51">
        <v>10</v>
      </c>
      <c r="I50" s="51">
        <v>5.5</v>
      </c>
      <c r="J50" s="51"/>
      <c r="K50" s="51"/>
      <c r="L50" s="51">
        <f t="shared" si="33"/>
        <v>15.5</v>
      </c>
      <c r="N50" s="51">
        <v>12</v>
      </c>
      <c r="O50" s="51">
        <v>14</v>
      </c>
      <c r="P50" s="51"/>
      <c r="Q50" s="51"/>
      <c r="R50" s="51">
        <f t="shared" si="34"/>
        <v>26</v>
      </c>
      <c r="T50" s="51">
        <v>3.5</v>
      </c>
      <c r="U50" s="51">
        <v>3</v>
      </c>
      <c r="V50" s="51"/>
      <c r="W50" s="51"/>
      <c r="X50" s="51">
        <f t="shared" si="35"/>
        <v>6.5</v>
      </c>
      <c r="Y50" s="193"/>
      <c r="Z50" s="210">
        <v>3</v>
      </c>
      <c r="AA50" s="210">
        <v>5</v>
      </c>
      <c r="AB50" s="51">
        <v>0</v>
      </c>
      <c r="AC50" s="51"/>
      <c r="AD50" s="51">
        <f t="shared" si="36"/>
        <v>8</v>
      </c>
      <c r="AE50" s="193"/>
      <c r="AF50" s="51">
        <v>5</v>
      </c>
      <c r="AG50" s="51">
        <v>5</v>
      </c>
      <c r="AH50" s="51">
        <v>2</v>
      </c>
      <c r="AI50" s="51"/>
      <c r="AJ50" s="51">
        <f t="shared" si="37"/>
        <v>12</v>
      </c>
      <c r="AL50" s="51">
        <v>1</v>
      </c>
      <c r="AM50" s="51"/>
      <c r="AN50" s="51"/>
      <c r="AO50" s="51">
        <v>20</v>
      </c>
      <c r="AP50" s="51">
        <f t="shared" si="38"/>
        <v>21</v>
      </c>
      <c r="AR50" s="50">
        <f t="shared" si="39"/>
        <v>44.5</v>
      </c>
      <c r="AS50" s="50">
        <f t="shared" si="31"/>
        <v>37.5</v>
      </c>
      <c r="AT50" s="50">
        <f t="shared" si="31"/>
        <v>2</v>
      </c>
      <c r="AU50" s="50">
        <f t="shared" si="31"/>
        <v>20</v>
      </c>
      <c r="AV50" s="51">
        <f t="shared" si="40"/>
        <v>104</v>
      </c>
    </row>
    <row r="51" spans="1:48" x14ac:dyDescent="0.25">
      <c r="A51" s="11" t="s">
        <v>46</v>
      </c>
      <c r="B51" s="51">
        <v>4</v>
      </c>
      <c r="C51" s="51"/>
      <c r="D51" s="51"/>
      <c r="E51" s="51"/>
      <c r="F51" s="51">
        <f t="shared" si="32"/>
        <v>4</v>
      </c>
      <c r="H51" s="51">
        <v>3</v>
      </c>
      <c r="I51" s="51"/>
      <c r="J51" s="51"/>
      <c r="K51" s="51"/>
      <c r="L51" s="51">
        <f t="shared" si="33"/>
        <v>3</v>
      </c>
      <c r="N51" s="51">
        <v>12</v>
      </c>
      <c r="O51" s="51"/>
      <c r="P51" s="51"/>
      <c r="Q51" s="51"/>
      <c r="R51" s="51">
        <f t="shared" si="34"/>
        <v>12</v>
      </c>
      <c r="T51" s="51">
        <v>1</v>
      </c>
      <c r="U51" s="51"/>
      <c r="V51" s="51"/>
      <c r="W51" s="51"/>
      <c r="X51" s="51">
        <f t="shared" si="35"/>
        <v>1</v>
      </c>
      <c r="Y51" s="193"/>
      <c r="Z51" s="210">
        <v>3</v>
      </c>
      <c r="AA51" s="51"/>
      <c r="AB51" s="51"/>
      <c r="AC51" s="51"/>
      <c r="AD51" s="51">
        <f t="shared" si="36"/>
        <v>3</v>
      </c>
      <c r="AE51" s="193"/>
      <c r="AF51" s="51">
        <v>2</v>
      </c>
      <c r="AG51" s="51"/>
      <c r="AH51" s="51"/>
      <c r="AI51" s="51"/>
      <c r="AJ51" s="51">
        <f t="shared" si="37"/>
        <v>2</v>
      </c>
      <c r="AL51" s="51">
        <v>0</v>
      </c>
      <c r="AM51" s="51"/>
      <c r="AN51" s="51"/>
      <c r="AO51" s="51"/>
      <c r="AP51" s="51">
        <f t="shared" si="38"/>
        <v>0</v>
      </c>
      <c r="AR51" s="50">
        <f t="shared" si="39"/>
        <v>25</v>
      </c>
      <c r="AS51" s="50">
        <f t="shared" si="31"/>
        <v>0</v>
      </c>
      <c r="AT51" s="50">
        <f t="shared" si="31"/>
        <v>0</v>
      </c>
      <c r="AU51" s="50">
        <f t="shared" si="31"/>
        <v>0</v>
      </c>
      <c r="AV51" s="51">
        <f t="shared" si="40"/>
        <v>25</v>
      </c>
    </row>
    <row r="52" spans="1:48" x14ac:dyDescent="0.25">
      <c r="A52" s="11" t="s">
        <v>47</v>
      </c>
      <c r="B52" s="51"/>
      <c r="C52" s="51"/>
      <c r="D52" s="51">
        <v>3</v>
      </c>
      <c r="E52" s="51"/>
      <c r="F52" s="51">
        <f t="shared" si="32"/>
        <v>3</v>
      </c>
      <c r="H52" s="51"/>
      <c r="I52" s="51"/>
      <c r="J52" s="51">
        <v>3</v>
      </c>
      <c r="K52" s="51"/>
      <c r="L52" s="51">
        <f t="shared" si="33"/>
        <v>3</v>
      </c>
      <c r="N52" s="51"/>
      <c r="O52" s="51"/>
      <c r="P52" s="51">
        <v>9</v>
      </c>
      <c r="Q52" s="51"/>
      <c r="R52" s="51">
        <f t="shared" si="34"/>
        <v>9</v>
      </c>
      <c r="T52" s="51"/>
      <c r="U52" s="51"/>
      <c r="V52" s="51"/>
      <c r="W52" s="51"/>
      <c r="X52" s="51">
        <f t="shared" si="35"/>
        <v>0</v>
      </c>
      <c r="Y52" s="193"/>
      <c r="Z52" s="51"/>
      <c r="AA52" s="51"/>
      <c r="AB52" s="210">
        <v>2</v>
      </c>
      <c r="AC52" s="51"/>
      <c r="AD52" s="51">
        <f t="shared" si="36"/>
        <v>2</v>
      </c>
      <c r="AE52" s="193"/>
      <c r="AF52" s="51"/>
      <c r="AG52" s="51"/>
      <c r="AH52" s="51"/>
      <c r="AI52" s="51"/>
      <c r="AJ52" s="51">
        <f t="shared" si="37"/>
        <v>0</v>
      </c>
      <c r="AL52" s="51"/>
      <c r="AM52" s="51"/>
      <c r="AN52" s="51">
        <v>1</v>
      </c>
      <c r="AO52" s="51"/>
      <c r="AP52" s="51">
        <f t="shared" si="38"/>
        <v>1</v>
      </c>
      <c r="AR52" s="50">
        <f t="shared" si="39"/>
        <v>0</v>
      </c>
      <c r="AS52" s="50">
        <f t="shared" si="31"/>
        <v>0</v>
      </c>
      <c r="AT52" s="50">
        <f t="shared" si="31"/>
        <v>18</v>
      </c>
      <c r="AU52" s="50">
        <f t="shared" si="31"/>
        <v>0</v>
      </c>
      <c r="AV52" s="51">
        <f t="shared" si="40"/>
        <v>18</v>
      </c>
    </row>
    <row r="53" spans="1:48" x14ac:dyDescent="0.25">
      <c r="A53" s="11" t="s">
        <v>48</v>
      </c>
      <c r="B53" s="51"/>
      <c r="C53" s="51"/>
      <c r="D53" s="51"/>
      <c r="E53" s="51"/>
      <c r="F53" s="51">
        <f t="shared" si="32"/>
        <v>0</v>
      </c>
      <c r="H53" s="51"/>
      <c r="I53" s="51"/>
      <c r="J53" s="51"/>
      <c r="K53" s="51"/>
      <c r="L53" s="51">
        <f t="shared" si="33"/>
        <v>0</v>
      </c>
      <c r="N53" s="51"/>
      <c r="O53" s="51"/>
      <c r="P53" s="51"/>
      <c r="Q53" s="51"/>
      <c r="R53" s="51">
        <f t="shared" si="34"/>
        <v>0</v>
      </c>
      <c r="T53" s="51"/>
      <c r="U53" s="51"/>
      <c r="V53" s="51"/>
      <c r="W53" s="51"/>
      <c r="X53" s="51">
        <f t="shared" si="35"/>
        <v>0</v>
      </c>
      <c r="Y53" s="193"/>
      <c r="Z53" s="51"/>
      <c r="AA53" s="51"/>
      <c r="AB53" s="51"/>
      <c r="AC53" s="51"/>
      <c r="AD53" s="51">
        <f t="shared" si="36"/>
        <v>0</v>
      </c>
      <c r="AE53" s="193"/>
      <c r="AF53" s="51"/>
      <c r="AG53" s="51"/>
      <c r="AH53" s="51"/>
      <c r="AI53" s="51"/>
      <c r="AJ53" s="51">
        <f t="shared" si="37"/>
        <v>0</v>
      </c>
      <c r="AL53" s="51"/>
      <c r="AM53" s="51"/>
      <c r="AN53" s="51"/>
      <c r="AO53" s="51"/>
      <c r="AP53" s="51">
        <f t="shared" si="38"/>
        <v>0</v>
      </c>
      <c r="AR53" s="50">
        <f t="shared" si="39"/>
        <v>0</v>
      </c>
      <c r="AS53" s="50">
        <f t="shared" si="31"/>
        <v>0</v>
      </c>
      <c r="AT53" s="50">
        <f t="shared" si="31"/>
        <v>0</v>
      </c>
      <c r="AU53" s="50">
        <f t="shared" si="31"/>
        <v>0</v>
      </c>
      <c r="AV53" s="51">
        <f t="shared" si="40"/>
        <v>0</v>
      </c>
    </row>
    <row r="54" spans="1:48" x14ac:dyDescent="0.25">
      <c r="A54" s="14" t="s">
        <v>49</v>
      </c>
      <c r="B54" s="51">
        <v>0.5</v>
      </c>
      <c r="C54" s="51">
        <v>1</v>
      </c>
      <c r="D54" s="51"/>
      <c r="E54" s="51"/>
      <c r="F54" s="51">
        <f t="shared" si="32"/>
        <v>1.5</v>
      </c>
      <c r="H54" s="51"/>
      <c r="I54" s="51">
        <v>1</v>
      </c>
      <c r="J54" s="51"/>
      <c r="K54" s="51"/>
      <c r="L54" s="51">
        <f t="shared" si="33"/>
        <v>1</v>
      </c>
      <c r="N54" s="51"/>
      <c r="O54" s="51">
        <v>1</v>
      </c>
      <c r="P54" s="51"/>
      <c r="Q54" s="51"/>
      <c r="R54" s="51">
        <f t="shared" si="34"/>
        <v>1</v>
      </c>
      <c r="T54" s="51"/>
      <c r="U54" s="51"/>
      <c r="V54" s="51"/>
      <c r="W54" s="51"/>
      <c r="X54" s="51">
        <f t="shared" si="35"/>
        <v>0</v>
      </c>
      <c r="Y54" s="193"/>
      <c r="Z54" s="51"/>
      <c r="AA54" s="51"/>
      <c r="AB54" s="51"/>
      <c r="AC54" s="51"/>
      <c r="AD54" s="51">
        <f t="shared" si="36"/>
        <v>0</v>
      </c>
      <c r="AE54" s="193"/>
      <c r="AF54" s="51"/>
      <c r="AG54" s="51"/>
      <c r="AH54" s="51"/>
      <c r="AI54" s="51"/>
      <c r="AJ54" s="51">
        <f t="shared" si="37"/>
        <v>0</v>
      </c>
      <c r="AL54" s="51"/>
      <c r="AM54" s="51"/>
      <c r="AN54" s="51"/>
      <c r="AO54" s="51"/>
      <c r="AP54" s="51">
        <f t="shared" si="38"/>
        <v>0</v>
      </c>
      <c r="AR54" s="50">
        <f t="shared" si="39"/>
        <v>0.5</v>
      </c>
      <c r="AS54" s="50">
        <f t="shared" si="31"/>
        <v>3</v>
      </c>
      <c r="AT54" s="50">
        <f t="shared" si="31"/>
        <v>0</v>
      </c>
      <c r="AU54" s="50">
        <f t="shared" si="31"/>
        <v>0</v>
      </c>
      <c r="AV54" s="51">
        <f t="shared" si="40"/>
        <v>3.5</v>
      </c>
    </row>
    <row r="55" spans="1:48" x14ac:dyDescent="0.25">
      <c r="A55" s="14" t="s">
        <v>50</v>
      </c>
      <c r="B55" s="51"/>
      <c r="C55" s="51">
        <v>1</v>
      </c>
      <c r="D55" s="51"/>
      <c r="E55" s="51"/>
      <c r="F55" s="51">
        <f t="shared" si="32"/>
        <v>1</v>
      </c>
      <c r="H55" s="51"/>
      <c r="I55" s="51">
        <v>1</v>
      </c>
      <c r="J55" s="51"/>
      <c r="K55" s="51"/>
      <c r="L55" s="51">
        <f t="shared" si="33"/>
        <v>1</v>
      </c>
      <c r="N55" s="51"/>
      <c r="O55" s="51">
        <v>1</v>
      </c>
      <c r="P55" s="51"/>
      <c r="Q55" s="51"/>
      <c r="R55" s="51">
        <f t="shared" si="34"/>
        <v>1</v>
      </c>
      <c r="T55" s="51"/>
      <c r="U55" s="51"/>
      <c r="V55" s="51"/>
      <c r="W55" s="51"/>
      <c r="X55" s="51">
        <f t="shared" si="35"/>
        <v>0</v>
      </c>
      <c r="Y55" s="193"/>
      <c r="Z55" s="51"/>
      <c r="AA55" s="51"/>
      <c r="AB55" s="51"/>
      <c r="AC55" s="51"/>
      <c r="AD55" s="51">
        <f t="shared" si="36"/>
        <v>0</v>
      </c>
      <c r="AE55" s="193"/>
      <c r="AF55" s="51"/>
      <c r="AG55" s="51"/>
      <c r="AH55" s="51"/>
      <c r="AI55" s="51"/>
      <c r="AJ55" s="51">
        <f t="shared" si="37"/>
        <v>0</v>
      </c>
      <c r="AL55" s="51"/>
      <c r="AM55" s="51"/>
      <c r="AN55" s="51"/>
      <c r="AO55" s="51"/>
      <c r="AP55" s="51">
        <f t="shared" si="38"/>
        <v>0</v>
      </c>
      <c r="AR55" s="50">
        <f t="shared" si="39"/>
        <v>0</v>
      </c>
      <c r="AS55" s="50">
        <f t="shared" si="39"/>
        <v>3</v>
      </c>
      <c r="AT55" s="50">
        <f t="shared" si="39"/>
        <v>0</v>
      </c>
      <c r="AU55" s="50">
        <f t="shared" si="39"/>
        <v>0</v>
      </c>
      <c r="AV55" s="51">
        <f t="shared" si="40"/>
        <v>3</v>
      </c>
    </row>
    <row r="56" spans="1:48" x14ac:dyDescent="0.25">
      <c r="A56" s="14" t="s">
        <v>51</v>
      </c>
      <c r="B56" s="51"/>
      <c r="C56" s="51">
        <v>0.5</v>
      </c>
      <c r="D56" s="51"/>
      <c r="E56" s="51"/>
      <c r="F56" s="51">
        <f t="shared" si="32"/>
        <v>0.5</v>
      </c>
      <c r="H56" s="51"/>
      <c r="I56" s="51">
        <v>0.5</v>
      </c>
      <c r="J56" s="51"/>
      <c r="K56" s="51"/>
      <c r="L56" s="51">
        <f t="shared" si="33"/>
        <v>0.5</v>
      </c>
      <c r="N56" s="51"/>
      <c r="O56" s="51">
        <v>1</v>
      </c>
      <c r="P56" s="51"/>
      <c r="Q56" s="51"/>
      <c r="R56" s="51">
        <f t="shared" si="34"/>
        <v>1</v>
      </c>
      <c r="T56" s="51"/>
      <c r="U56" s="51"/>
      <c r="V56" s="51"/>
      <c r="W56" s="51"/>
      <c r="X56" s="51">
        <f t="shared" si="35"/>
        <v>0</v>
      </c>
      <c r="Y56" s="193"/>
      <c r="Z56" s="51"/>
      <c r="AA56" s="51"/>
      <c r="AB56" s="51"/>
      <c r="AC56" s="51"/>
      <c r="AD56" s="51">
        <f t="shared" si="36"/>
        <v>0</v>
      </c>
      <c r="AE56" s="193"/>
      <c r="AF56" s="51"/>
      <c r="AG56" s="51"/>
      <c r="AH56" s="51"/>
      <c r="AI56" s="51"/>
      <c r="AJ56" s="51">
        <f t="shared" si="37"/>
        <v>0</v>
      </c>
      <c r="AL56" s="51"/>
      <c r="AM56" s="51">
        <v>2</v>
      </c>
      <c r="AN56" s="51"/>
      <c r="AO56" s="51"/>
      <c r="AP56" s="51">
        <f t="shared" si="38"/>
        <v>2</v>
      </c>
      <c r="AR56" s="50">
        <f t="shared" si="39"/>
        <v>0</v>
      </c>
      <c r="AS56" s="50">
        <f t="shared" si="39"/>
        <v>4</v>
      </c>
      <c r="AT56" s="50">
        <f t="shared" si="39"/>
        <v>0</v>
      </c>
      <c r="AU56" s="50">
        <f t="shared" si="39"/>
        <v>0</v>
      </c>
      <c r="AV56" s="51">
        <f t="shared" si="40"/>
        <v>4</v>
      </c>
    </row>
    <row r="57" spans="1:48" x14ac:dyDescent="0.25">
      <c r="A57" s="14" t="s">
        <v>52</v>
      </c>
      <c r="B57" s="51"/>
      <c r="C57" s="51"/>
      <c r="D57" s="51"/>
      <c r="E57" s="51"/>
      <c r="F57" s="51">
        <f t="shared" si="32"/>
        <v>0</v>
      </c>
      <c r="H57" s="51"/>
      <c r="I57" s="51"/>
      <c r="J57" s="51"/>
      <c r="K57" s="51"/>
      <c r="L57" s="51">
        <f t="shared" si="33"/>
        <v>0</v>
      </c>
      <c r="N57" s="51"/>
      <c r="O57" s="51"/>
      <c r="P57" s="51"/>
      <c r="Q57" s="51"/>
      <c r="R57" s="51">
        <f t="shared" si="34"/>
        <v>0</v>
      </c>
      <c r="T57" s="51"/>
      <c r="U57" s="51"/>
      <c r="V57" s="51"/>
      <c r="W57" s="51"/>
      <c r="X57" s="51">
        <f t="shared" si="35"/>
        <v>0</v>
      </c>
      <c r="Y57" s="193"/>
      <c r="Z57" s="51"/>
      <c r="AA57" s="51"/>
      <c r="AB57" s="51"/>
      <c r="AC57" s="51"/>
      <c r="AD57" s="51">
        <f t="shared" si="36"/>
        <v>0</v>
      </c>
      <c r="AE57" s="193"/>
      <c r="AF57" s="51"/>
      <c r="AG57" s="51"/>
      <c r="AH57" s="51"/>
      <c r="AI57" s="51"/>
      <c r="AJ57" s="51">
        <f t="shared" si="37"/>
        <v>0</v>
      </c>
      <c r="AL57" s="51"/>
      <c r="AM57" s="51"/>
      <c r="AN57" s="51"/>
      <c r="AO57" s="51"/>
      <c r="AP57" s="51">
        <f t="shared" si="38"/>
        <v>0</v>
      </c>
      <c r="AR57" s="50">
        <f t="shared" si="39"/>
        <v>0</v>
      </c>
      <c r="AS57" s="50">
        <f t="shared" si="39"/>
        <v>0</v>
      </c>
      <c r="AT57" s="50">
        <f t="shared" si="39"/>
        <v>0</v>
      </c>
      <c r="AU57" s="50">
        <f t="shared" si="39"/>
        <v>0</v>
      </c>
      <c r="AV57" s="51">
        <f t="shared" si="40"/>
        <v>0</v>
      </c>
    </row>
    <row r="58" spans="1:48" x14ac:dyDescent="0.25">
      <c r="A58" s="14" t="s">
        <v>53</v>
      </c>
      <c r="B58" s="51"/>
      <c r="C58" s="51"/>
      <c r="D58" s="51"/>
      <c r="E58" s="51"/>
      <c r="F58" s="51">
        <f t="shared" si="32"/>
        <v>0</v>
      </c>
      <c r="H58" s="51"/>
      <c r="I58" s="51"/>
      <c r="J58" s="51"/>
      <c r="K58" s="51"/>
      <c r="L58" s="51">
        <f t="shared" si="33"/>
        <v>0</v>
      </c>
      <c r="N58" s="51">
        <v>1</v>
      </c>
      <c r="O58" s="51"/>
      <c r="P58" s="51"/>
      <c r="Q58" s="51"/>
      <c r="R58" s="51">
        <f t="shared" si="34"/>
        <v>1</v>
      </c>
      <c r="T58" s="51"/>
      <c r="U58" s="51"/>
      <c r="V58" s="51"/>
      <c r="W58" s="51"/>
      <c r="X58" s="51">
        <f t="shared" si="35"/>
        <v>0</v>
      </c>
      <c r="Y58" s="193"/>
      <c r="Z58" s="51"/>
      <c r="AA58" s="51"/>
      <c r="AB58" s="51"/>
      <c r="AC58" s="51"/>
      <c r="AD58" s="51">
        <f t="shared" si="36"/>
        <v>0</v>
      </c>
      <c r="AE58" s="193"/>
      <c r="AF58" s="51"/>
      <c r="AG58" s="51"/>
      <c r="AH58" s="51"/>
      <c r="AI58" s="51"/>
      <c r="AJ58" s="51">
        <f t="shared" si="37"/>
        <v>0</v>
      </c>
      <c r="AL58" s="51"/>
      <c r="AM58" s="51"/>
      <c r="AN58" s="51"/>
      <c r="AO58" s="51"/>
      <c r="AP58" s="51">
        <f t="shared" si="38"/>
        <v>0</v>
      </c>
      <c r="AR58" s="50">
        <f t="shared" si="39"/>
        <v>1</v>
      </c>
      <c r="AS58" s="50">
        <f t="shared" si="39"/>
        <v>0</v>
      </c>
      <c r="AT58" s="50">
        <f t="shared" si="39"/>
        <v>0</v>
      </c>
      <c r="AU58" s="50">
        <f t="shared" si="39"/>
        <v>0</v>
      </c>
      <c r="AV58" s="51">
        <f t="shared" si="40"/>
        <v>1</v>
      </c>
    </row>
    <row r="59" spans="1:48" x14ac:dyDescent="0.25">
      <c r="A59" s="14" t="s">
        <v>54</v>
      </c>
      <c r="B59" s="51">
        <v>2</v>
      </c>
      <c r="C59" s="51"/>
      <c r="D59" s="51"/>
      <c r="E59" s="51"/>
      <c r="F59" s="51">
        <f t="shared" si="32"/>
        <v>2</v>
      </c>
      <c r="H59" s="51">
        <v>1</v>
      </c>
      <c r="I59" s="51"/>
      <c r="J59" s="51"/>
      <c r="K59" s="51"/>
      <c r="L59" s="51">
        <f t="shared" si="33"/>
        <v>1</v>
      </c>
      <c r="N59" s="51">
        <v>3</v>
      </c>
      <c r="O59" s="51"/>
      <c r="P59" s="51"/>
      <c r="Q59" s="51"/>
      <c r="R59" s="51">
        <f t="shared" si="34"/>
        <v>3</v>
      </c>
      <c r="T59" s="51"/>
      <c r="U59" s="51"/>
      <c r="V59" s="51"/>
      <c r="W59" s="51"/>
      <c r="X59" s="51">
        <f t="shared" si="35"/>
        <v>0</v>
      </c>
      <c r="Y59" s="193"/>
      <c r="Z59" s="51"/>
      <c r="AA59" s="51"/>
      <c r="AB59" s="51"/>
      <c r="AC59" s="51"/>
      <c r="AD59" s="51">
        <f t="shared" si="36"/>
        <v>0</v>
      </c>
      <c r="AE59" s="193"/>
      <c r="AF59" s="51"/>
      <c r="AG59" s="51"/>
      <c r="AH59" s="51"/>
      <c r="AI59" s="51"/>
      <c r="AJ59" s="51">
        <f t="shared" si="37"/>
        <v>0</v>
      </c>
      <c r="AL59" s="51"/>
      <c r="AM59" s="51"/>
      <c r="AN59" s="51"/>
      <c r="AO59" s="51"/>
      <c r="AP59" s="51">
        <f t="shared" si="38"/>
        <v>0</v>
      </c>
      <c r="AR59" s="50">
        <f t="shared" si="39"/>
        <v>6</v>
      </c>
      <c r="AS59" s="50">
        <f t="shared" si="39"/>
        <v>0</v>
      </c>
      <c r="AT59" s="50">
        <f t="shared" si="39"/>
        <v>0</v>
      </c>
      <c r="AU59" s="50">
        <f t="shared" si="39"/>
        <v>0</v>
      </c>
      <c r="AV59" s="51">
        <f t="shared" si="40"/>
        <v>6</v>
      </c>
    </row>
    <row r="60" spans="1:48" x14ac:dyDescent="0.25">
      <c r="A60" s="11" t="s">
        <v>55</v>
      </c>
      <c r="B60" s="50">
        <v>1</v>
      </c>
      <c r="C60" s="50"/>
      <c r="D60" s="50"/>
      <c r="E60" s="50"/>
      <c r="F60" s="51">
        <f t="shared" si="32"/>
        <v>1</v>
      </c>
      <c r="H60" s="50">
        <v>1</v>
      </c>
      <c r="I60" s="50"/>
      <c r="J60" s="50"/>
      <c r="K60" s="50"/>
      <c r="L60" s="51">
        <f t="shared" si="33"/>
        <v>1</v>
      </c>
      <c r="N60" s="50">
        <v>1</v>
      </c>
      <c r="O60" s="50"/>
      <c r="P60" s="50"/>
      <c r="Q60" s="50"/>
      <c r="R60" s="51">
        <f t="shared" si="34"/>
        <v>1</v>
      </c>
      <c r="T60" s="50"/>
      <c r="U60" s="50"/>
      <c r="V60" s="50"/>
      <c r="W60" s="50"/>
      <c r="X60" s="51">
        <f t="shared" si="35"/>
        <v>0</v>
      </c>
      <c r="Y60" s="193"/>
      <c r="Z60" s="50"/>
      <c r="AA60" s="50"/>
      <c r="AB60" s="50"/>
      <c r="AC60" s="50"/>
      <c r="AD60" s="51">
        <f t="shared" si="36"/>
        <v>0</v>
      </c>
      <c r="AE60" s="193"/>
      <c r="AF60" s="50"/>
      <c r="AG60" s="50"/>
      <c r="AH60" s="50"/>
      <c r="AI60" s="50"/>
      <c r="AJ60" s="51">
        <f t="shared" si="37"/>
        <v>0</v>
      </c>
      <c r="AL60" s="50"/>
      <c r="AM60" s="50"/>
      <c r="AN60" s="50"/>
      <c r="AO60" s="50"/>
      <c r="AP60" s="51">
        <f t="shared" si="38"/>
        <v>0</v>
      </c>
      <c r="AR60" s="50">
        <f t="shared" si="39"/>
        <v>3</v>
      </c>
      <c r="AS60" s="50">
        <f t="shared" si="39"/>
        <v>0</v>
      </c>
      <c r="AT60" s="50">
        <f t="shared" si="39"/>
        <v>0</v>
      </c>
      <c r="AU60" s="50">
        <f t="shared" si="39"/>
        <v>0</v>
      </c>
      <c r="AV60" s="51">
        <f t="shared" si="40"/>
        <v>3</v>
      </c>
    </row>
    <row r="61" spans="1:48" x14ac:dyDescent="0.25">
      <c r="A61" s="9" t="s">
        <v>56</v>
      </c>
      <c r="B61" s="52">
        <f t="shared" ref="B61:F61" si="41">SUM(B39:B60)</f>
        <v>34.5</v>
      </c>
      <c r="C61" s="52">
        <f t="shared" si="41"/>
        <v>7.5</v>
      </c>
      <c r="D61" s="52">
        <f t="shared" si="41"/>
        <v>3</v>
      </c>
      <c r="E61" s="52">
        <f t="shared" si="41"/>
        <v>0</v>
      </c>
      <c r="F61" s="52">
        <f t="shared" si="41"/>
        <v>45</v>
      </c>
      <c r="H61" s="52">
        <f t="shared" ref="H61:L61" si="42">SUM(H39:H60)</f>
        <v>31.5</v>
      </c>
      <c r="I61" s="52">
        <f t="shared" si="42"/>
        <v>8</v>
      </c>
      <c r="J61" s="52">
        <f t="shared" si="42"/>
        <v>3</v>
      </c>
      <c r="K61" s="52">
        <f t="shared" si="42"/>
        <v>0</v>
      </c>
      <c r="L61" s="52">
        <f t="shared" si="42"/>
        <v>42.5</v>
      </c>
      <c r="N61" s="52">
        <f t="shared" ref="N61:R61" si="43">SUM(N39:N60)</f>
        <v>57</v>
      </c>
      <c r="O61" s="52">
        <f t="shared" si="43"/>
        <v>17</v>
      </c>
      <c r="P61" s="52">
        <f t="shared" si="43"/>
        <v>9</v>
      </c>
      <c r="Q61" s="52">
        <f t="shared" si="43"/>
        <v>0</v>
      </c>
      <c r="R61" s="52">
        <f t="shared" si="43"/>
        <v>83</v>
      </c>
      <c r="T61" s="52">
        <f t="shared" ref="T61:X61" si="44">SUM(T39:T60)</f>
        <v>8.5</v>
      </c>
      <c r="U61" s="52">
        <f t="shared" si="44"/>
        <v>3</v>
      </c>
      <c r="V61" s="52">
        <f t="shared" si="44"/>
        <v>0</v>
      </c>
      <c r="W61" s="52">
        <f t="shared" si="44"/>
        <v>0</v>
      </c>
      <c r="X61" s="52">
        <f t="shared" si="44"/>
        <v>11.5</v>
      </c>
      <c r="Y61" s="197"/>
      <c r="Z61" s="52">
        <f t="shared" ref="Z61:AD61" si="45">SUM(Z39:Z60)</f>
        <v>15</v>
      </c>
      <c r="AA61" s="52">
        <f t="shared" si="45"/>
        <v>5</v>
      </c>
      <c r="AB61" s="52">
        <f t="shared" si="45"/>
        <v>2</v>
      </c>
      <c r="AC61" s="52">
        <f t="shared" si="45"/>
        <v>0</v>
      </c>
      <c r="AD61" s="52">
        <f t="shared" si="45"/>
        <v>22</v>
      </c>
      <c r="AE61" s="197"/>
      <c r="AF61" s="52">
        <f t="shared" ref="AF61:AJ61" si="46">SUM(AF39:AF60)</f>
        <v>17</v>
      </c>
      <c r="AG61" s="52">
        <f t="shared" si="46"/>
        <v>5</v>
      </c>
      <c r="AH61" s="52">
        <f t="shared" si="46"/>
        <v>2</v>
      </c>
      <c r="AI61" s="52">
        <f t="shared" si="46"/>
        <v>0</v>
      </c>
      <c r="AJ61" s="52">
        <f t="shared" si="46"/>
        <v>24</v>
      </c>
      <c r="AL61" s="52">
        <f t="shared" ref="AL61:AP61" si="47">SUM(AL39:AL60)</f>
        <v>3</v>
      </c>
      <c r="AM61" s="52">
        <f t="shared" si="47"/>
        <v>3</v>
      </c>
      <c r="AN61" s="52">
        <f t="shared" si="47"/>
        <v>1</v>
      </c>
      <c r="AO61" s="52">
        <f t="shared" si="47"/>
        <v>27</v>
      </c>
      <c r="AP61" s="52">
        <f t="shared" si="47"/>
        <v>34</v>
      </c>
      <c r="AR61" s="52">
        <f t="shared" ref="AR61:AV61" si="48">SUM(AR39:AR60)</f>
        <v>166.5</v>
      </c>
      <c r="AS61" s="52">
        <f t="shared" si="48"/>
        <v>48.5</v>
      </c>
      <c r="AT61" s="52">
        <f t="shared" si="48"/>
        <v>20</v>
      </c>
      <c r="AU61" s="52">
        <f t="shared" si="48"/>
        <v>27</v>
      </c>
      <c r="AV61" s="52">
        <f t="shared" si="48"/>
        <v>262</v>
      </c>
    </row>
    <row r="62" spans="1:48" ht="16.5" thickBot="1" x14ac:dyDescent="0.3">
      <c r="A62" s="15"/>
      <c r="B62" s="53"/>
      <c r="C62" s="53"/>
      <c r="D62" s="53"/>
      <c r="E62" s="53"/>
      <c r="F62" s="53"/>
      <c r="H62" s="53"/>
      <c r="I62" s="53"/>
      <c r="J62" s="53"/>
      <c r="K62" s="53"/>
      <c r="L62" s="53"/>
      <c r="N62" s="53"/>
      <c r="O62" s="53"/>
      <c r="P62" s="53"/>
      <c r="Q62" s="53"/>
      <c r="R62" s="53"/>
      <c r="T62" s="53"/>
      <c r="U62" s="53"/>
      <c r="V62" s="53"/>
      <c r="W62" s="53"/>
      <c r="X62" s="53"/>
      <c r="Y62" s="196"/>
      <c r="Z62" s="53"/>
      <c r="AA62" s="53"/>
      <c r="AB62" s="53"/>
      <c r="AC62" s="53"/>
      <c r="AD62" s="53"/>
      <c r="AE62" s="196"/>
      <c r="AF62" s="53"/>
      <c r="AG62" s="53"/>
      <c r="AH62" s="53"/>
      <c r="AI62" s="53"/>
      <c r="AJ62" s="53"/>
      <c r="AL62" s="53"/>
      <c r="AM62" s="53"/>
      <c r="AN62" s="53"/>
      <c r="AO62" s="53"/>
      <c r="AP62" s="53"/>
      <c r="AR62" s="53"/>
      <c r="AS62" s="53"/>
      <c r="AT62" s="53"/>
      <c r="AU62" s="53"/>
      <c r="AV62" s="53"/>
    </row>
    <row r="63" spans="1:48" x14ac:dyDescent="0.25">
      <c r="A63" s="16" t="s">
        <v>57</v>
      </c>
      <c r="B63" s="54">
        <f>B36+B41+B43+B50</f>
        <v>58</v>
      </c>
      <c r="C63" s="54">
        <f t="shared" ref="C63:F63" si="49">C36+C41+C43+C50</f>
        <v>10</v>
      </c>
      <c r="D63" s="54">
        <f t="shared" si="49"/>
        <v>0</v>
      </c>
      <c r="E63" s="54">
        <f t="shared" si="49"/>
        <v>0</v>
      </c>
      <c r="F63" s="54">
        <f t="shared" si="49"/>
        <v>68</v>
      </c>
      <c r="H63" s="54">
        <f>H36+H41+H43+H50</f>
        <v>57.5</v>
      </c>
      <c r="I63" s="54">
        <f t="shared" ref="I63:L63" si="50">I36+I41+I43+I50</f>
        <v>9.5</v>
      </c>
      <c r="J63" s="54">
        <f t="shared" si="50"/>
        <v>0</v>
      </c>
      <c r="K63" s="54">
        <f t="shared" si="50"/>
        <v>0</v>
      </c>
      <c r="L63" s="54">
        <f t="shared" si="50"/>
        <v>67</v>
      </c>
      <c r="N63" s="54">
        <f>N36+N41+N43+N50</f>
        <v>118</v>
      </c>
      <c r="O63" s="54">
        <f t="shared" ref="O63:R63" si="51">O36+O41+O43+O50</f>
        <v>28</v>
      </c>
      <c r="P63" s="54">
        <f t="shared" si="51"/>
        <v>0</v>
      </c>
      <c r="Q63" s="54">
        <f t="shared" si="51"/>
        <v>0</v>
      </c>
      <c r="R63" s="54">
        <f t="shared" si="51"/>
        <v>146</v>
      </c>
      <c r="T63" s="54">
        <f>T36+T41+T43+T50</f>
        <v>27.5</v>
      </c>
      <c r="U63" s="54">
        <f t="shared" ref="U63:X63" si="52">U36+U41+U43+U50</f>
        <v>6</v>
      </c>
      <c r="V63" s="54">
        <f t="shared" si="52"/>
        <v>0</v>
      </c>
      <c r="W63" s="54">
        <f t="shared" si="52"/>
        <v>0</v>
      </c>
      <c r="X63" s="54">
        <f t="shared" si="52"/>
        <v>33.5</v>
      </c>
      <c r="Y63" s="197"/>
      <c r="Z63" s="54">
        <f>Z36+Z41+Z43+Z50</f>
        <v>41</v>
      </c>
      <c r="AA63" s="54">
        <f t="shared" ref="AA63:AD63" si="53">AA36+AA41+AA43+AA50</f>
        <v>9.5</v>
      </c>
      <c r="AB63" s="54">
        <f t="shared" si="53"/>
        <v>0</v>
      </c>
      <c r="AC63" s="54">
        <f t="shared" si="53"/>
        <v>0</v>
      </c>
      <c r="AD63" s="54">
        <f t="shared" si="53"/>
        <v>50.5</v>
      </c>
      <c r="AE63" s="197"/>
      <c r="AF63" s="54">
        <f>AF36+AF41+AF43+AF50</f>
        <v>44</v>
      </c>
      <c r="AG63" s="54">
        <f t="shared" ref="AG63:AJ63" si="54">AG36+AG41+AG43+AG50</f>
        <v>9.5</v>
      </c>
      <c r="AH63" s="54">
        <f t="shared" si="54"/>
        <v>2</v>
      </c>
      <c r="AI63" s="54">
        <f t="shared" si="54"/>
        <v>0</v>
      </c>
      <c r="AJ63" s="54">
        <f t="shared" si="54"/>
        <v>55.5</v>
      </c>
      <c r="AL63" s="54">
        <f>AL36+AL41+AL43+AL50</f>
        <v>1</v>
      </c>
      <c r="AM63" s="54">
        <f t="shared" ref="AM63:AP63" si="55">AM36+AM41+AM43+AM50</f>
        <v>0</v>
      </c>
      <c r="AN63" s="54">
        <f t="shared" si="55"/>
        <v>0</v>
      </c>
      <c r="AO63" s="54">
        <f t="shared" si="55"/>
        <v>25</v>
      </c>
      <c r="AP63" s="54">
        <f t="shared" si="55"/>
        <v>26</v>
      </c>
      <c r="AR63" s="54">
        <f>AR36+AR41+AR43+AR50</f>
        <v>347</v>
      </c>
      <c r="AS63" s="54">
        <f t="shared" ref="AS63:AV63" si="56">AS36+AS41+AS43+AS50</f>
        <v>72.5</v>
      </c>
      <c r="AT63" s="54">
        <f t="shared" si="56"/>
        <v>2</v>
      </c>
      <c r="AU63" s="54">
        <f t="shared" si="56"/>
        <v>25</v>
      </c>
      <c r="AV63" s="54">
        <f t="shared" si="56"/>
        <v>446.5</v>
      </c>
    </row>
    <row r="64" spans="1:48" x14ac:dyDescent="0.25">
      <c r="A64" s="17" t="s">
        <v>58</v>
      </c>
      <c r="B64" s="55">
        <f>B61-B41-B43-B50</f>
        <v>21.5</v>
      </c>
      <c r="C64" s="55">
        <f>C61-C41-C43-C50</f>
        <v>2.5</v>
      </c>
      <c r="D64" s="55">
        <f t="shared" ref="D64:F64" si="57">D61-D41-D43-D50</f>
        <v>3</v>
      </c>
      <c r="E64" s="55">
        <f t="shared" si="57"/>
        <v>0</v>
      </c>
      <c r="F64" s="55">
        <f t="shared" si="57"/>
        <v>27</v>
      </c>
      <c r="H64" s="55">
        <f>H61-H41-H43-H50</f>
        <v>19</v>
      </c>
      <c r="I64" s="55">
        <f>I61-I41-I43-I50</f>
        <v>2.5</v>
      </c>
      <c r="J64" s="55">
        <f t="shared" ref="J64:L64" si="58">J61-J41-J43-J50</f>
        <v>3</v>
      </c>
      <c r="K64" s="55">
        <f t="shared" si="58"/>
        <v>0</v>
      </c>
      <c r="L64" s="55">
        <f t="shared" si="58"/>
        <v>24.5</v>
      </c>
      <c r="N64" s="55">
        <f>N61-N41-N43-N50</f>
        <v>40</v>
      </c>
      <c r="O64" s="55">
        <f>O61-O41-O43-O50</f>
        <v>3</v>
      </c>
      <c r="P64" s="55">
        <f t="shared" ref="P64:R64" si="59">P61-P41-P43-P50</f>
        <v>9</v>
      </c>
      <c r="Q64" s="55">
        <f t="shared" si="59"/>
        <v>0</v>
      </c>
      <c r="R64" s="55">
        <f t="shared" si="59"/>
        <v>52</v>
      </c>
      <c r="T64" s="55">
        <f>T61-T41-T43-T50</f>
        <v>4</v>
      </c>
      <c r="U64" s="55">
        <f>U61-U41-U43-U50</f>
        <v>0</v>
      </c>
      <c r="V64" s="55">
        <f t="shared" ref="V64:X64" si="60">V61-V41-V43-V50</f>
        <v>0</v>
      </c>
      <c r="W64" s="55">
        <f t="shared" si="60"/>
        <v>0</v>
      </c>
      <c r="X64" s="55">
        <f t="shared" si="60"/>
        <v>4</v>
      </c>
      <c r="Y64" s="197"/>
      <c r="Z64" s="55">
        <f>Z61-Z41-Z43-Z50</f>
        <v>11</v>
      </c>
      <c r="AA64" s="55">
        <f>AA61-AA41-AA43-AA50</f>
        <v>0</v>
      </c>
      <c r="AB64" s="55">
        <f t="shared" ref="AB64:AD64" si="61">AB61-AB41-AB43-AB50</f>
        <v>2</v>
      </c>
      <c r="AC64" s="55">
        <f t="shared" si="61"/>
        <v>0</v>
      </c>
      <c r="AD64" s="55">
        <f t="shared" si="61"/>
        <v>13</v>
      </c>
      <c r="AE64" s="197"/>
      <c r="AF64" s="55">
        <f>AF61-AF41-AF43-AF50</f>
        <v>11</v>
      </c>
      <c r="AG64" s="55">
        <f>AG61-AG41-AG43-AG50</f>
        <v>0</v>
      </c>
      <c r="AH64" s="55">
        <f t="shared" ref="AH64:AJ64" si="62">AH61-AH41-AH43-AH50</f>
        <v>0</v>
      </c>
      <c r="AI64" s="55">
        <f t="shared" si="62"/>
        <v>0</v>
      </c>
      <c r="AJ64" s="55">
        <f t="shared" si="62"/>
        <v>11</v>
      </c>
      <c r="AL64" s="55">
        <f>AL61-AL41-AL43-AL50</f>
        <v>2</v>
      </c>
      <c r="AM64" s="55">
        <f>AM61-AM41-AM43-AM50</f>
        <v>3</v>
      </c>
      <c r="AN64" s="55">
        <f t="shared" ref="AN64:AP64" si="63">AN61-AN41-AN43-AN50</f>
        <v>1</v>
      </c>
      <c r="AO64" s="55">
        <f t="shared" si="63"/>
        <v>2</v>
      </c>
      <c r="AP64" s="55">
        <f t="shared" si="63"/>
        <v>8</v>
      </c>
      <c r="AR64" s="55">
        <f>AR61-AR41-AR43-AR50</f>
        <v>108.5</v>
      </c>
      <c r="AS64" s="55">
        <f>AS61-AS41-AS43-AS50</f>
        <v>11</v>
      </c>
      <c r="AT64" s="55">
        <f t="shared" ref="AT64:AV64" si="64">AT61-AT41-AT43-AT50</f>
        <v>18</v>
      </c>
      <c r="AU64" s="55">
        <f t="shared" si="64"/>
        <v>2</v>
      </c>
      <c r="AV64" s="55">
        <f t="shared" si="64"/>
        <v>139.5</v>
      </c>
    </row>
    <row r="65" spans="1:48" ht="16.5" thickBot="1" x14ac:dyDescent="0.3">
      <c r="A65" s="18" t="s">
        <v>59</v>
      </c>
      <c r="B65" s="56">
        <f>SUM(B63:B64)</f>
        <v>79.5</v>
      </c>
      <c r="C65" s="56">
        <f t="shared" ref="C65:F65" si="65">SUM(C63:C64)</f>
        <v>12.5</v>
      </c>
      <c r="D65" s="56">
        <f t="shared" si="65"/>
        <v>3</v>
      </c>
      <c r="E65" s="56">
        <f t="shared" si="65"/>
        <v>0</v>
      </c>
      <c r="F65" s="56">
        <f t="shared" si="65"/>
        <v>95</v>
      </c>
      <c r="H65" s="56">
        <f>SUM(H63:H64)</f>
        <v>76.5</v>
      </c>
      <c r="I65" s="56">
        <f t="shared" ref="I65:L65" si="66">SUM(I63:I64)</f>
        <v>12</v>
      </c>
      <c r="J65" s="56">
        <f t="shared" si="66"/>
        <v>3</v>
      </c>
      <c r="K65" s="56">
        <f t="shared" si="66"/>
        <v>0</v>
      </c>
      <c r="L65" s="56">
        <f t="shared" si="66"/>
        <v>91.5</v>
      </c>
      <c r="N65" s="56">
        <f>SUM(N63:N64)</f>
        <v>158</v>
      </c>
      <c r="O65" s="56">
        <f t="shared" ref="O65:R65" si="67">SUM(O63:O64)</f>
        <v>31</v>
      </c>
      <c r="P65" s="56">
        <f t="shared" si="67"/>
        <v>9</v>
      </c>
      <c r="Q65" s="56">
        <f t="shared" si="67"/>
        <v>0</v>
      </c>
      <c r="R65" s="56">
        <f t="shared" si="67"/>
        <v>198</v>
      </c>
      <c r="T65" s="56">
        <f t="shared" ref="T65:X65" si="68">SUM(T63:T64)</f>
        <v>31.5</v>
      </c>
      <c r="U65" s="56">
        <f t="shared" si="68"/>
        <v>6</v>
      </c>
      <c r="V65" s="56">
        <f t="shared" si="68"/>
        <v>0</v>
      </c>
      <c r="W65" s="56">
        <f t="shared" si="68"/>
        <v>0</v>
      </c>
      <c r="X65" s="56">
        <f t="shared" si="68"/>
        <v>37.5</v>
      </c>
      <c r="Y65" s="197"/>
      <c r="Z65" s="56">
        <f t="shared" ref="Z65:AD65" si="69">SUM(Z63:Z64)</f>
        <v>52</v>
      </c>
      <c r="AA65" s="56">
        <f t="shared" si="69"/>
        <v>9.5</v>
      </c>
      <c r="AB65" s="56">
        <f t="shared" si="69"/>
        <v>2</v>
      </c>
      <c r="AC65" s="56">
        <f t="shared" si="69"/>
        <v>0</v>
      </c>
      <c r="AD65" s="56">
        <f t="shared" si="69"/>
        <v>63.5</v>
      </c>
      <c r="AE65" s="197"/>
      <c r="AF65" s="56">
        <f t="shared" ref="AF65:AJ65" si="70">SUM(AF63:AF64)</f>
        <v>55</v>
      </c>
      <c r="AG65" s="56">
        <f t="shared" si="70"/>
        <v>9.5</v>
      </c>
      <c r="AH65" s="56">
        <f t="shared" si="70"/>
        <v>2</v>
      </c>
      <c r="AI65" s="56">
        <f t="shared" si="70"/>
        <v>0</v>
      </c>
      <c r="AJ65" s="56">
        <f t="shared" si="70"/>
        <v>66.5</v>
      </c>
      <c r="AL65" s="56">
        <f>SUM(AL63:AL64)</f>
        <v>3</v>
      </c>
      <c r="AM65" s="56">
        <f t="shared" ref="AM65:AP65" si="71">SUM(AM63:AM64)</f>
        <v>3</v>
      </c>
      <c r="AN65" s="56">
        <f t="shared" si="71"/>
        <v>1</v>
      </c>
      <c r="AO65" s="56">
        <f t="shared" si="71"/>
        <v>27</v>
      </c>
      <c r="AP65" s="56">
        <f t="shared" si="71"/>
        <v>34</v>
      </c>
      <c r="AR65" s="56">
        <f>SUM(AR63:AR64)</f>
        <v>455.5</v>
      </c>
      <c r="AS65" s="56">
        <f t="shared" ref="AS65:AV65" si="72">SUM(AS63:AS64)</f>
        <v>83.5</v>
      </c>
      <c r="AT65" s="56">
        <f t="shared" si="72"/>
        <v>20</v>
      </c>
      <c r="AU65" s="56">
        <f t="shared" si="72"/>
        <v>27</v>
      </c>
      <c r="AV65" s="56">
        <f t="shared" si="72"/>
        <v>586</v>
      </c>
    </row>
    <row r="66" spans="1:48" ht="16.5" thickBot="1" x14ac:dyDescent="0.3">
      <c r="B66" s="57"/>
      <c r="C66" s="57"/>
      <c r="D66" s="57"/>
      <c r="E66" s="57"/>
      <c r="F66" s="57"/>
      <c r="H66" s="57"/>
      <c r="I66" s="57"/>
      <c r="J66" s="57"/>
      <c r="K66" s="57"/>
      <c r="L66" s="57"/>
      <c r="N66" s="57"/>
      <c r="O66" s="57"/>
      <c r="P66" s="57"/>
      <c r="Q66" s="57"/>
      <c r="R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L66" s="57"/>
      <c r="AM66" s="57"/>
      <c r="AN66" s="57"/>
      <c r="AO66" s="57"/>
      <c r="AP66" s="57"/>
      <c r="AR66" s="57"/>
      <c r="AS66" s="57"/>
      <c r="AT66" s="57"/>
      <c r="AU66" s="57"/>
      <c r="AV66" s="57"/>
    </row>
    <row r="67" spans="1:48" ht="16.5" thickBot="1" x14ac:dyDescent="0.3">
      <c r="A67" s="19"/>
      <c r="B67" s="58" t="s">
        <v>157</v>
      </c>
      <c r="C67" s="58" t="s">
        <v>158</v>
      </c>
      <c r="D67" s="58" t="s">
        <v>159</v>
      </c>
      <c r="E67" s="59" t="str">
        <f>E20</f>
        <v>Other</v>
      </c>
      <c r="F67" s="59" t="str">
        <f>F20</f>
        <v>FY29- Mtn</v>
      </c>
      <c r="H67" s="58" t="s">
        <v>157</v>
      </c>
      <c r="I67" s="58" t="s">
        <v>158</v>
      </c>
      <c r="J67" s="58" t="s">
        <v>159</v>
      </c>
      <c r="K67" s="59" t="str">
        <f>K20</f>
        <v>Other</v>
      </c>
      <c r="L67" s="59" t="str">
        <f>L20</f>
        <v>FY29- Bon</v>
      </c>
      <c r="N67" s="58" t="s">
        <v>157</v>
      </c>
      <c r="O67" s="58" t="s">
        <v>158</v>
      </c>
      <c r="P67" s="58" t="s">
        <v>159</v>
      </c>
      <c r="Q67" s="59" t="str">
        <f>Q20</f>
        <v>Other</v>
      </c>
      <c r="R67" s="59" t="str">
        <f>R20</f>
        <v>FY29- East</v>
      </c>
      <c r="T67" s="58" t="s">
        <v>157</v>
      </c>
      <c r="U67" s="58" t="s">
        <v>158</v>
      </c>
      <c r="V67" s="58" t="s">
        <v>159</v>
      </c>
      <c r="W67" s="59" t="str">
        <f>W20</f>
        <v>Other</v>
      </c>
      <c r="X67" s="59" t="str">
        <f>X20</f>
        <v>FY29- Cactus</v>
      </c>
      <c r="Y67" s="198"/>
      <c r="Z67" s="58" t="s">
        <v>157</v>
      </c>
      <c r="AA67" s="58" t="s">
        <v>158</v>
      </c>
      <c r="AB67" s="58" t="s">
        <v>159</v>
      </c>
      <c r="AC67" s="59" t="str">
        <f>AC20</f>
        <v>Other</v>
      </c>
      <c r="AD67" s="59" t="str">
        <f>AD20</f>
        <v>FY29- Sahara</v>
      </c>
      <c r="AE67" s="198"/>
      <c r="AF67" s="58" t="s">
        <v>157</v>
      </c>
      <c r="AG67" s="58" t="s">
        <v>158</v>
      </c>
      <c r="AH67" s="58" t="s">
        <v>159</v>
      </c>
      <c r="AI67" s="59" t="str">
        <f>AI20</f>
        <v>Other</v>
      </c>
      <c r="AJ67" s="59" t="str">
        <f>AJ20</f>
        <v>FY29- VV</v>
      </c>
      <c r="AL67" s="58" t="s">
        <v>157</v>
      </c>
      <c r="AM67" s="58" t="s">
        <v>158</v>
      </c>
      <c r="AN67" s="58" t="s">
        <v>159</v>
      </c>
      <c r="AO67" s="59" t="str">
        <f>AO20</f>
        <v>Grant</v>
      </c>
      <c r="AP67" s="59" t="str">
        <f>AP20</f>
        <v>FY29 - Central</v>
      </c>
      <c r="AR67" s="58" t="s">
        <v>157</v>
      </c>
      <c r="AS67" s="58" t="s">
        <v>158</v>
      </c>
      <c r="AT67" s="58" t="s">
        <v>159</v>
      </c>
      <c r="AU67" s="59" t="str">
        <f>AU20</f>
        <v>Other</v>
      </c>
      <c r="AV67" s="59" t="str">
        <f>AV20</f>
        <v>FY29- Sys</v>
      </c>
    </row>
    <row r="68" spans="1:48" x14ac:dyDescent="0.25">
      <c r="A68" s="20" t="s">
        <v>60</v>
      </c>
      <c r="B68" s="60">
        <f>B17*B2</f>
        <v>10100100</v>
      </c>
      <c r="C68" s="60"/>
      <c r="D68" s="60"/>
      <c r="E68" s="60"/>
      <c r="F68" s="60">
        <f>SUM(B68:E68)</f>
        <v>10100100</v>
      </c>
      <c r="H68" s="60">
        <f>H17*H2</f>
        <v>10100100</v>
      </c>
      <c r="I68" s="60"/>
      <c r="J68" s="60"/>
      <c r="K68" s="60"/>
      <c r="L68" s="60">
        <f>SUM(H68:K68)</f>
        <v>10100100</v>
      </c>
      <c r="N68" s="60">
        <f>N17*N2</f>
        <v>24670575</v>
      </c>
      <c r="O68" s="60"/>
      <c r="P68" s="60"/>
      <c r="Q68" s="60"/>
      <c r="R68" s="60">
        <f>SUM(N68:Q68)</f>
        <v>24670575</v>
      </c>
      <c r="T68" s="60">
        <f>T2*T17</f>
        <v>5276025</v>
      </c>
      <c r="U68" s="60"/>
      <c r="V68" s="60"/>
      <c r="W68" s="60"/>
      <c r="X68" s="60">
        <f>SUM(T68:W68)</f>
        <v>5276025</v>
      </c>
      <c r="Y68" s="194"/>
      <c r="Z68" s="60">
        <f>Z2*Z17</f>
        <v>8675475</v>
      </c>
      <c r="AA68" s="60"/>
      <c r="AB68" s="60"/>
      <c r="AC68" s="60"/>
      <c r="AD68" s="60">
        <f>SUM(Z68:AC68)</f>
        <v>8675475</v>
      </c>
      <c r="AE68" s="194"/>
      <c r="AF68" s="60">
        <f>AF2*AF17</f>
        <v>9127425</v>
      </c>
      <c r="AG68" s="60"/>
      <c r="AH68" s="60"/>
      <c r="AI68" s="60"/>
      <c r="AJ68" s="60">
        <f>SUM(AF68:AI68)</f>
        <v>9127425</v>
      </c>
      <c r="AL68" s="60"/>
      <c r="AM68" s="60"/>
      <c r="AN68" s="60"/>
      <c r="AO68" s="60"/>
      <c r="AP68" s="60">
        <f>SUM(AL68:AO68)</f>
        <v>0</v>
      </c>
      <c r="AR68" s="60">
        <f>B68+H68+N68+T68+AL68+AF68+Z68</f>
        <v>67949700</v>
      </c>
      <c r="AS68" s="60">
        <f t="shared" ref="AS68:AU81" si="73">C68+I68+O68+U68+AM68+AG68+AA68</f>
        <v>0</v>
      </c>
      <c r="AT68" s="60">
        <f t="shared" si="73"/>
        <v>0</v>
      </c>
      <c r="AU68" s="60">
        <f t="shared" si="73"/>
        <v>0</v>
      </c>
      <c r="AV68" s="60">
        <f>SUM(AR68:AU68)</f>
        <v>67949700</v>
      </c>
    </row>
    <row r="69" spans="1:48" x14ac:dyDescent="0.25">
      <c r="A69" s="21" t="s">
        <v>61</v>
      </c>
      <c r="B69" s="60">
        <f>(B2*0.4495)*B22</f>
        <v>1589881.5000000002</v>
      </c>
      <c r="C69" s="61"/>
      <c r="D69" s="61"/>
      <c r="E69" s="61"/>
      <c r="F69" s="60">
        <f t="shared" ref="F69:F81" si="74">SUM(B69:E69)</f>
        <v>1589881.5000000002</v>
      </c>
      <c r="H69" s="60">
        <f>(H2*0.4495)*H22</f>
        <v>1589881.5000000002</v>
      </c>
      <c r="I69" s="61"/>
      <c r="J69" s="61"/>
      <c r="K69" s="61"/>
      <c r="L69" s="60">
        <f t="shared" ref="L69:L81" si="75">SUM(H69:K69)</f>
        <v>1589881.5000000002</v>
      </c>
      <c r="N69" s="60">
        <f>(N2*0.4495)*N22</f>
        <v>3268089.7500000005</v>
      </c>
      <c r="O69" s="61"/>
      <c r="P69" s="61"/>
      <c r="Q69" s="61"/>
      <c r="R69" s="60">
        <f t="shared" ref="R69:R81" si="76">SUM(N69:Q69)</f>
        <v>3268089.7500000005</v>
      </c>
      <c r="T69" s="60">
        <f>(T2*0.4495)*T22</f>
        <v>353307.00000000006</v>
      </c>
      <c r="U69" s="61"/>
      <c r="V69" s="61"/>
      <c r="W69" s="61"/>
      <c r="X69" s="60">
        <f t="shared" ref="X69:X81" si="77">SUM(T69:W69)</f>
        <v>353307.00000000006</v>
      </c>
      <c r="Y69" s="194"/>
      <c r="Z69" s="60">
        <f>(Z2*0.4495)*Z22</f>
        <v>927430.87500000012</v>
      </c>
      <c r="AA69" s="61"/>
      <c r="AB69" s="61"/>
      <c r="AC69" s="61"/>
      <c r="AD69" s="60">
        <f t="shared" ref="AD69:AD81" si="78">SUM(Z69:AC69)</f>
        <v>927430.87500000012</v>
      </c>
      <c r="AE69" s="194"/>
      <c r="AF69" s="60">
        <f>(AF2*0.4495)*AF22</f>
        <v>1148247.7500000002</v>
      </c>
      <c r="AG69" s="61"/>
      <c r="AH69" s="61"/>
      <c r="AI69" s="61"/>
      <c r="AJ69" s="60">
        <f t="shared" ref="AJ69:AJ81" si="79">SUM(AF69:AI69)</f>
        <v>1148247.7500000002</v>
      </c>
      <c r="AL69" s="61"/>
      <c r="AM69" s="61"/>
      <c r="AN69" s="61"/>
      <c r="AO69" s="61"/>
      <c r="AP69" s="60">
        <f t="shared" ref="AP69:AP81" si="80">SUM(AL69:AO69)</f>
        <v>0</v>
      </c>
      <c r="AR69" s="60">
        <f t="shared" ref="AR69:AR81" si="81">B69+H69+N69+T69+AL69+AF69+Z69</f>
        <v>8876838.3750000019</v>
      </c>
      <c r="AS69" s="60">
        <f t="shared" si="73"/>
        <v>0</v>
      </c>
      <c r="AT69" s="60">
        <f t="shared" si="73"/>
        <v>0</v>
      </c>
      <c r="AU69" s="60">
        <f t="shared" si="73"/>
        <v>0</v>
      </c>
      <c r="AV69" s="60">
        <f t="shared" ref="AV69:AV81" si="82">SUM(AR69:AU69)</f>
        <v>8876838.3750000019</v>
      </c>
    </row>
    <row r="70" spans="1:48" x14ac:dyDescent="0.25">
      <c r="A70" s="21" t="s">
        <v>62</v>
      </c>
      <c r="B70" s="61">
        <f>B23*1130</f>
        <v>0</v>
      </c>
      <c r="C70" s="61"/>
      <c r="D70" s="61"/>
      <c r="E70" s="61"/>
      <c r="F70" s="60">
        <f t="shared" si="74"/>
        <v>0</v>
      </c>
      <c r="H70" s="61">
        <f>H23*1130</f>
        <v>0</v>
      </c>
      <c r="I70" s="61"/>
      <c r="J70" s="61"/>
      <c r="K70" s="61"/>
      <c r="L70" s="60">
        <f t="shared" si="75"/>
        <v>0</v>
      </c>
      <c r="N70" s="61">
        <f>N23*1130</f>
        <v>0</v>
      </c>
      <c r="O70" s="61"/>
      <c r="P70" s="61"/>
      <c r="Q70" s="61"/>
      <c r="R70" s="60">
        <f t="shared" si="76"/>
        <v>0</v>
      </c>
      <c r="T70" s="60">
        <f>(T2*0.1195)*T23</f>
        <v>0</v>
      </c>
      <c r="U70" s="61"/>
      <c r="V70" s="61"/>
      <c r="W70" s="61"/>
      <c r="X70" s="60">
        <f t="shared" si="77"/>
        <v>0</v>
      </c>
      <c r="Y70" s="194"/>
      <c r="Z70" s="60">
        <f>(Z2*0.1195)*Z23</f>
        <v>0</v>
      </c>
      <c r="AA70" s="61"/>
      <c r="AB70" s="61"/>
      <c r="AC70" s="61"/>
      <c r="AD70" s="60">
        <f t="shared" si="78"/>
        <v>0</v>
      </c>
      <c r="AE70" s="194"/>
      <c r="AF70" s="60">
        <f>(AF2*0.1195)*AF23</f>
        <v>0</v>
      </c>
      <c r="AG70" s="61"/>
      <c r="AH70" s="61"/>
      <c r="AI70" s="61"/>
      <c r="AJ70" s="60">
        <f t="shared" si="79"/>
        <v>0</v>
      </c>
      <c r="AL70" s="61"/>
      <c r="AM70" s="61"/>
      <c r="AN70" s="61"/>
      <c r="AO70" s="61"/>
      <c r="AP70" s="60">
        <f t="shared" si="80"/>
        <v>0</v>
      </c>
      <c r="AR70" s="60">
        <f t="shared" si="81"/>
        <v>0</v>
      </c>
      <c r="AS70" s="60">
        <f t="shared" si="73"/>
        <v>0</v>
      </c>
      <c r="AT70" s="60">
        <f t="shared" si="73"/>
        <v>0</v>
      </c>
      <c r="AU70" s="60">
        <f t="shared" si="73"/>
        <v>0</v>
      </c>
      <c r="AV70" s="60">
        <f t="shared" si="82"/>
        <v>0</v>
      </c>
    </row>
    <row r="71" spans="1:48" x14ac:dyDescent="0.25">
      <c r="A71" s="21" t="s">
        <v>63</v>
      </c>
      <c r="B71" s="61">
        <f>B24*3294</f>
        <v>0</v>
      </c>
      <c r="C71" s="61"/>
      <c r="D71" s="61"/>
      <c r="E71" s="61"/>
      <c r="F71" s="60">
        <f t="shared" si="74"/>
        <v>0</v>
      </c>
      <c r="H71" s="61">
        <f>H24*3294</f>
        <v>0</v>
      </c>
      <c r="I71" s="61"/>
      <c r="J71" s="61"/>
      <c r="K71" s="61"/>
      <c r="L71" s="60">
        <f t="shared" si="75"/>
        <v>0</v>
      </c>
      <c r="N71" s="61">
        <f>N24*3294</f>
        <v>16470</v>
      </c>
      <c r="O71" s="61"/>
      <c r="P71" s="61"/>
      <c r="Q71" s="61"/>
      <c r="R71" s="60">
        <f t="shared" si="76"/>
        <v>16470</v>
      </c>
      <c r="T71" s="60">
        <f>(T2*0.3495)*T24</f>
        <v>0</v>
      </c>
      <c r="U71" s="61"/>
      <c r="V71" s="61"/>
      <c r="W71" s="61"/>
      <c r="X71" s="60">
        <f t="shared" si="77"/>
        <v>0</v>
      </c>
      <c r="Y71" s="194"/>
      <c r="Z71" s="60">
        <f>(Z2*0.3495)*Z24</f>
        <v>0</v>
      </c>
      <c r="AA71" s="61"/>
      <c r="AB71" s="61"/>
      <c r="AC71" s="61"/>
      <c r="AD71" s="60">
        <f t="shared" si="78"/>
        <v>0</v>
      </c>
      <c r="AE71" s="194"/>
      <c r="AF71" s="60">
        <f>(AF2*0.3495)*AF24</f>
        <v>0</v>
      </c>
      <c r="AG71" s="61"/>
      <c r="AH71" s="61"/>
      <c r="AI71" s="61"/>
      <c r="AJ71" s="60">
        <f t="shared" si="79"/>
        <v>0</v>
      </c>
      <c r="AL71" s="61"/>
      <c r="AM71" s="61"/>
      <c r="AN71" s="61"/>
      <c r="AO71" s="61"/>
      <c r="AP71" s="60">
        <f t="shared" si="80"/>
        <v>0</v>
      </c>
      <c r="AR71" s="60">
        <f t="shared" si="81"/>
        <v>16470</v>
      </c>
      <c r="AS71" s="60">
        <f t="shared" si="73"/>
        <v>0</v>
      </c>
      <c r="AT71" s="60">
        <f t="shared" si="73"/>
        <v>0</v>
      </c>
      <c r="AU71" s="60">
        <f t="shared" si="73"/>
        <v>0</v>
      </c>
      <c r="AV71" s="60">
        <f t="shared" si="82"/>
        <v>16470</v>
      </c>
    </row>
    <row r="72" spans="1:48" x14ac:dyDescent="0.25">
      <c r="A72" s="21" t="s">
        <v>64</v>
      </c>
      <c r="B72" s="61">
        <v>393521</v>
      </c>
      <c r="C72" s="61"/>
      <c r="D72" s="61"/>
      <c r="E72" s="61"/>
      <c r="F72" s="60">
        <f t="shared" si="74"/>
        <v>393521</v>
      </c>
      <c r="H72" s="61">
        <v>385109</v>
      </c>
      <c r="I72" s="61"/>
      <c r="J72" s="61"/>
      <c r="K72" s="61"/>
      <c r="L72" s="60">
        <f t="shared" si="75"/>
        <v>385109</v>
      </c>
      <c r="N72" s="61">
        <v>873329</v>
      </c>
      <c r="O72" s="61"/>
      <c r="P72" s="61"/>
      <c r="Q72" s="61"/>
      <c r="R72" s="60">
        <f t="shared" si="76"/>
        <v>873329</v>
      </c>
      <c r="T72" s="61">
        <f>270*450</f>
        <v>121500</v>
      </c>
      <c r="U72" s="61"/>
      <c r="V72" s="61"/>
      <c r="W72" s="61"/>
      <c r="X72" s="60">
        <f t="shared" si="77"/>
        <v>121500</v>
      </c>
      <c r="Y72" s="194"/>
      <c r="Z72" s="61">
        <v>0</v>
      </c>
      <c r="AA72" s="61"/>
      <c r="AB72" s="61"/>
      <c r="AC72" s="61"/>
      <c r="AD72" s="60">
        <f t="shared" si="78"/>
        <v>0</v>
      </c>
      <c r="AE72" s="194"/>
      <c r="AF72" s="61">
        <v>100000</v>
      </c>
      <c r="AG72" s="61"/>
      <c r="AH72" s="61"/>
      <c r="AI72" s="61"/>
      <c r="AJ72" s="60">
        <f t="shared" si="79"/>
        <v>100000</v>
      </c>
      <c r="AL72" s="61"/>
      <c r="AM72" s="61"/>
      <c r="AN72" s="61"/>
      <c r="AO72" s="61"/>
      <c r="AP72" s="60">
        <f t="shared" si="80"/>
        <v>0</v>
      </c>
      <c r="AR72" s="60">
        <f t="shared" si="81"/>
        <v>1873459</v>
      </c>
      <c r="AS72" s="60">
        <f t="shared" si="73"/>
        <v>0</v>
      </c>
      <c r="AT72" s="60">
        <f t="shared" si="73"/>
        <v>0</v>
      </c>
      <c r="AU72" s="60">
        <f t="shared" si="73"/>
        <v>0</v>
      </c>
      <c r="AV72" s="60">
        <f t="shared" si="82"/>
        <v>1873459</v>
      </c>
    </row>
    <row r="73" spans="1:48" x14ac:dyDescent="0.25">
      <c r="A73" s="21" t="s">
        <v>65</v>
      </c>
      <c r="B73" s="61"/>
      <c r="C73" s="62">
        <v>386750</v>
      </c>
      <c r="D73" s="61"/>
      <c r="E73" s="61"/>
      <c r="F73" s="60">
        <f t="shared" si="74"/>
        <v>386750</v>
      </c>
      <c r="H73" s="61"/>
      <c r="I73" s="62">
        <v>386750</v>
      </c>
      <c r="J73" s="61"/>
      <c r="K73" s="61"/>
      <c r="L73" s="60">
        <f t="shared" si="75"/>
        <v>386750</v>
      </c>
      <c r="N73" s="61"/>
      <c r="O73" s="62">
        <v>914000</v>
      </c>
      <c r="P73" s="61"/>
      <c r="Q73" s="61"/>
      <c r="R73" s="60">
        <f t="shared" si="76"/>
        <v>914000</v>
      </c>
      <c r="T73" s="61"/>
      <c r="U73" s="61"/>
      <c r="V73" s="61"/>
      <c r="W73" s="61"/>
      <c r="X73" s="60">
        <f t="shared" si="77"/>
        <v>0</v>
      </c>
      <c r="Y73" s="194"/>
      <c r="Z73" s="61"/>
      <c r="AA73" s="61"/>
      <c r="AB73" s="61"/>
      <c r="AC73" s="61"/>
      <c r="AD73" s="60">
        <f t="shared" si="78"/>
        <v>0</v>
      </c>
      <c r="AE73" s="194"/>
      <c r="AF73" s="61"/>
      <c r="AG73" s="61"/>
      <c r="AH73" s="61"/>
      <c r="AI73" s="61"/>
      <c r="AJ73" s="60">
        <f t="shared" si="79"/>
        <v>0</v>
      </c>
      <c r="AL73" s="61"/>
      <c r="AM73" s="61"/>
      <c r="AN73" s="61"/>
      <c r="AO73" s="61"/>
      <c r="AP73" s="60">
        <f t="shared" si="80"/>
        <v>0</v>
      </c>
      <c r="AR73" s="60">
        <f t="shared" si="81"/>
        <v>0</v>
      </c>
      <c r="AS73" s="60">
        <f t="shared" si="73"/>
        <v>1687500</v>
      </c>
      <c r="AT73" s="60">
        <f t="shared" si="73"/>
        <v>0</v>
      </c>
      <c r="AU73" s="60">
        <f t="shared" si="73"/>
        <v>0</v>
      </c>
      <c r="AV73" s="60">
        <f t="shared" si="82"/>
        <v>1687500</v>
      </c>
    </row>
    <row r="74" spans="1:48" x14ac:dyDescent="0.25">
      <c r="A74" s="21" t="s">
        <v>66</v>
      </c>
      <c r="B74" s="63"/>
      <c r="C74" s="63">
        <f>4036*C21</f>
        <v>423780</v>
      </c>
      <c r="D74" s="63"/>
      <c r="E74" s="63"/>
      <c r="F74" s="60">
        <f t="shared" si="74"/>
        <v>423780</v>
      </c>
      <c r="H74" s="63"/>
      <c r="I74" s="63">
        <f>4036*I21</f>
        <v>423780</v>
      </c>
      <c r="J74" s="63"/>
      <c r="K74" s="63"/>
      <c r="L74" s="60">
        <f t="shared" si="75"/>
        <v>423780</v>
      </c>
      <c r="N74" s="63"/>
      <c r="O74" s="63">
        <f>4036*O21</f>
        <v>1089720</v>
      </c>
      <c r="P74" s="63"/>
      <c r="Q74" s="63"/>
      <c r="R74" s="60">
        <f t="shared" si="76"/>
        <v>1089720</v>
      </c>
      <c r="T74" s="61"/>
      <c r="U74" s="61">
        <f>U21*3850</f>
        <v>231000</v>
      </c>
      <c r="V74" s="61"/>
      <c r="W74" s="61"/>
      <c r="X74" s="60">
        <f t="shared" si="77"/>
        <v>231000</v>
      </c>
      <c r="Y74" s="194"/>
      <c r="Z74" s="61"/>
      <c r="AA74" s="61">
        <f>4000*AA21</f>
        <v>288000</v>
      </c>
      <c r="AB74" s="61"/>
      <c r="AC74" s="61"/>
      <c r="AD74" s="60">
        <f t="shared" si="78"/>
        <v>288000</v>
      </c>
      <c r="AE74" s="194"/>
      <c r="AF74" s="61"/>
      <c r="AG74" s="61">
        <f>4000*AG21</f>
        <v>380000</v>
      </c>
      <c r="AH74" s="61"/>
      <c r="AI74" s="61"/>
      <c r="AJ74" s="60">
        <f t="shared" si="79"/>
        <v>380000</v>
      </c>
      <c r="AL74" s="61"/>
      <c r="AM74" s="61"/>
      <c r="AN74" s="61"/>
      <c r="AO74" s="61"/>
      <c r="AP74" s="60">
        <f t="shared" si="80"/>
        <v>0</v>
      </c>
      <c r="AR74" s="60">
        <f t="shared" si="81"/>
        <v>0</v>
      </c>
      <c r="AS74" s="60">
        <f t="shared" si="73"/>
        <v>2836280</v>
      </c>
      <c r="AT74" s="60">
        <f t="shared" si="73"/>
        <v>0</v>
      </c>
      <c r="AU74" s="60">
        <f t="shared" si="73"/>
        <v>0</v>
      </c>
      <c r="AV74" s="60">
        <f t="shared" si="82"/>
        <v>2836280</v>
      </c>
    </row>
    <row r="75" spans="1:48" x14ac:dyDescent="0.25">
      <c r="A75" s="21" t="s">
        <v>67</v>
      </c>
      <c r="B75" s="63"/>
      <c r="C75" s="63">
        <v>105981</v>
      </c>
      <c r="D75" s="63"/>
      <c r="E75" s="63"/>
      <c r="F75" s="60">
        <f t="shared" si="74"/>
        <v>105981</v>
      </c>
      <c r="H75" s="63"/>
      <c r="I75" s="63">
        <v>105981</v>
      </c>
      <c r="J75" s="63"/>
      <c r="K75" s="63"/>
      <c r="L75" s="60">
        <f t="shared" si="75"/>
        <v>105981</v>
      </c>
      <c r="N75" s="63"/>
      <c r="O75" s="63">
        <v>239137</v>
      </c>
      <c r="P75" s="63"/>
      <c r="Q75" s="63"/>
      <c r="R75" s="60">
        <f t="shared" si="76"/>
        <v>239137</v>
      </c>
      <c r="T75" s="61"/>
      <c r="U75" s="63">
        <f>952*U21</f>
        <v>57120</v>
      </c>
      <c r="V75" s="61"/>
      <c r="W75" s="61"/>
      <c r="X75" s="60">
        <f t="shared" si="77"/>
        <v>57120</v>
      </c>
      <c r="Y75" s="194"/>
      <c r="Z75" s="61"/>
      <c r="AA75" s="63">
        <f>951*AA21</f>
        <v>68472</v>
      </c>
      <c r="AB75" s="61"/>
      <c r="AC75" s="61"/>
      <c r="AD75" s="60">
        <f t="shared" si="78"/>
        <v>68472</v>
      </c>
      <c r="AE75" s="194"/>
      <c r="AF75" s="61"/>
      <c r="AG75" s="63">
        <f>951*AG21</f>
        <v>90345</v>
      </c>
      <c r="AH75" s="61"/>
      <c r="AI75" s="61"/>
      <c r="AJ75" s="60">
        <f t="shared" si="79"/>
        <v>90345</v>
      </c>
      <c r="AL75" s="61"/>
      <c r="AM75" s="61"/>
      <c r="AN75" s="61"/>
      <c r="AO75" s="61"/>
      <c r="AP75" s="60">
        <f t="shared" si="80"/>
        <v>0</v>
      </c>
      <c r="AR75" s="60">
        <f t="shared" si="81"/>
        <v>0</v>
      </c>
      <c r="AS75" s="60">
        <f t="shared" si="73"/>
        <v>667036</v>
      </c>
      <c r="AT75" s="60">
        <f t="shared" si="73"/>
        <v>0</v>
      </c>
      <c r="AU75" s="60">
        <f t="shared" si="73"/>
        <v>0</v>
      </c>
      <c r="AV75" s="60">
        <f t="shared" si="82"/>
        <v>667036</v>
      </c>
    </row>
    <row r="76" spans="1:48" x14ac:dyDescent="0.25">
      <c r="A76" s="21" t="s">
        <v>68</v>
      </c>
      <c r="B76" s="61">
        <v>70000</v>
      </c>
      <c r="C76" s="63"/>
      <c r="D76" s="63"/>
      <c r="E76" s="63"/>
      <c r="F76" s="60">
        <f t="shared" si="74"/>
        <v>70000</v>
      </c>
      <c r="H76" s="61">
        <v>70000</v>
      </c>
      <c r="I76" s="63"/>
      <c r="J76" s="63"/>
      <c r="K76" s="63"/>
      <c r="L76" s="60">
        <f t="shared" si="75"/>
        <v>70000</v>
      </c>
      <c r="N76" s="61">
        <v>70000</v>
      </c>
      <c r="O76" s="63"/>
      <c r="P76" s="63"/>
      <c r="Q76" s="63"/>
      <c r="R76" s="60">
        <f t="shared" si="76"/>
        <v>70000</v>
      </c>
      <c r="T76" s="61">
        <v>35000</v>
      </c>
      <c r="U76" s="61"/>
      <c r="V76" s="61"/>
      <c r="W76" s="61"/>
      <c r="X76" s="60">
        <f t="shared" si="77"/>
        <v>35000</v>
      </c>
      <c r="Y76" s="194"/>
      <c r="Z76" s="61">
        <v>20000</v>
      </c>
      <c r="AA76" s="61"/>
      <c r="AB76" s="61"/>
      <c r="AC76" s="61"/>
      <c r="AD76" s="60">
        <f t="shared" si="78"/>
        <v>20000</v>
      </c>
      <c r="AE76" s="194"/>
      <c r="AF76" s="61">
        <v>10000</v>
      </c>
      <c r="AG76" s="61"/>
      <c r="AH76" s="61"/>
      <c r="AI76" s="61"/>
      <c r="AJ76" s="60">
        <f t="shared" si="79"/>
        <v>10000</v>
      </c>
      <c r="AL76" s="61"/>
      <c r="AM76" s="61"/>
      <c r="AN76" s="61"/>
      <c r="AO76" s="61"/>
      <c r="AP76" s="60">
        <f t="shared" si="80"/>
        <v>0</v>
      </c>
      <c r="AR76" s="60">
        <f t="shared" si="81"/>
        <v>275000</v>
      </c>
      <c r="AS76" s="60">
        <f t="shared" si="73"/>
        <v>0</v>
      </c>
      <c r="AT76" s="60">
        <f t="shared" si="73"/>
        <v>0</v>
      </c>
      <c r="AU76" s="60">
        <f t="shared" si="73"/>
        <v>0</v>
      </c>
      <c r="AV76" s="60">
        <f t="shared" si="82"/>
        <v>275000</v>
      </c>
    </row>
    <row r="77" spans="1:48" x14ac:dyDescent="0.25">
      <c r="A77" s="21" t="s">
        <v>69</v>
      </c>
      <c r="B77" s="63"/>
      <c r="C77" s="63"/>
      <c r="D77" s="63"/>
      <c r="E77" s="63"/>
      <c r="F77" s="60">
        <f t="shared" si="74"/>
        <v>0</v>
      </c>
      <c r="H77" s="63"/>
      <c r="I77" s="63"/>
      <c r="J77" s="63"/>
      <c r="K77" s="63"/>
      <c r="L77" s="60">
        <f t="shared" si="75"/>
        <v>0</v>
      </c>
      <c r="N77" s="63"/>
      <c r="O77" s="63"/>
      <c r="P77" s="63"/>
      <c r="Q77" s="63"/>
      <c r="R77" s="60">
        <f t="shared" si="76"/>
        <v>0</v>
      </c>
      <c r="T77" s="61"/>
      <c r="U77" s="61"/>
      <c r="V77" s="61"/>
      <c r="W77" s="61"/>
      <c r="X77" s="60">
        <f t="shared" si="77"/>
        <v>0</v>
      </c>
      <c r="Y77" s="194"/>
      <c r="Z77" s="61"/>
      <c r="AA77" s="61"/>
      <c r="AB77" s="61"/>
      <c r="AC77" s="61"/>
      <c r="AD77" s="60">
        <f t="shared" si="78"/>
        <v>0</v>
      </c>
      <c r="AE77" s="194"/>
      <c r="AF77" s="61"/>
      <c r="AG77" s="61"/>
      <c r="AH77" s="61"/>
      <c r="AI77" s="61"/>
      <c r="AJ77" s="60">
        <f t="shared" si="79"/>
        <v>0</v>
      </c>
      <c r="AL77" s="61"/>
      <c r="AM77" s="61"/>
      <c r="AN77" s="61"/>
      <c r="AO77" s="61">
        <v>1993322</v>
      </c>
      <c r="AP77" s="60">
        <f t="shared" si="80"/>
        <v>1993322</v>
      </c>
      <c r="AR77" s="60">
        <f t="shared" si="81"/>
        <v>0</v>
      </c>
      <c r="AS77" s="60">
        <f t="shared" si="73"/>
        <v>0</v>
      </c>
      <c r="AT77" s="60">
        <f t="shared" si="73"/>
        <v>0</v>
      </c>
      <c r="AU77" s="60">
        <f t="shared" si="73"/>
        <v>1993322</v>
      </c>
      <c r="AV77" s="60">
        <f t="shared" si="82"/>
        <v>1993322</v>
      </c>
    </row>
    <row r="78" spans="1:48" x14ac:dyDescent="0.25">
      <c r="A78" s="21" t="s">
        <v>70</v>
      </c>
      <c r="B78" s="63"/>
      <c r="C78" s="63"/>
      <c r="D78" s="63"/>
      <c r="E78" s="63"/>
      <c r="F78" s="60">
        <f t="shared" si="74"/>
        <v>0</v>
      </c>
      <c r="H78" s="63"/>
      <c r="I78" s="63"/>
      <c r="J78" s="63"/>
      <c r="K78" s="63"/>
      <c r="L78" s="60">
        <f t="shared" si="75"/>
        <v>0</v>
      </c>
      <c r="N78" s="63"/>
      <c r="O78" s="63"/>
      <c r="P78" s="63"/>
      <c r="Q78" s="63"/>
      <c r="R78" s="60">
        <f t="shared" si="76"/>
        <v>0</v>
      </c>
      <c r="T78" s="61"/>
      <c r="U78" s="61"/>
      <c r="V78" s="61"/>
      <c r="W78" s="61"/>
      <c r="X78" s="60">
        <f t="shared" si="77"/>
        <v>0</v>
      </c>
      <c r="Y78" s="194"/>
      <c r="Z78" s="61"/>
      <c r="AA78" s="61"/>
      <c r="AB78" s="61"/>
      <c r="AC78" s="61"/>
      <c r="AD78" s="60">
        <f t="shared" si="78"/>
        <v>0</v>
      </c>
      <c r="AE78" s="194"/>
      <c r="AF78" s="61"/>
      <c r="AG78" s="61"/>
      <c r="AH78" s="61"/>
      <c r="AI78" s="61"/>
      <c r="AJ78" s="60">
        <f t="shared" si="79"/>
        <v>0</v>
      </c>
      <c r="AL78" s="61"/>
      <c r="AM78" s="61"/>
      <c r="AN78" s="61"/>
      <c r="AO78" s="61"/>
      <c r="AP78" s="60">
        <f t="shared" si="80"/>
        <v>0</v>
      </c>
      <c r="AR78" s="60">
        <f t="shared" si="81"/>
        <v>0</v>
      </c>
      <c r="AS78" s="60">
        <f t="shared" si="73"/>
        <v>0</v>
      </c>
      <c r="AT78" s="60">
        <f t="shared" si="73"/>
        <v>0</v>
      </c>
      <c r="AU78" s="60">
        <f t="shared" si="73"/>
        <v>0</v>
      </c>
      <c r="AV78" s="60">
        <f t="shared" si="82"/>
        <v>0</v>
      </c>
    </row>
    <row r="79" spans="1:48" x14ac:dyDescent="0.25">
      <c r="A79" s="21" t="s">
        <v>71</v>
      </c>
      <c r="B79" s="63"/>
      <c r="C79" s="63"/>
      <c r="D79" s="63"/>
      <c r="E79" s="63"/>
      <c r="F79" s="60">
        <f t="shared" si="74"/>
        <v>0</v>
      </c>
      <c r="H79" s="63"/>
      <c r="I79" s="63"/>
      <c r="J79" s="63"/>
      <c r="K79" s="63"/>
      <c r="L79" s="60">
        <f t="shared" si="75"/>
        <v>0</v>
      </c>
      <c r="N79" s="63"/>
      <c r="O79" s="63"/>
      <c r="P79" s="63"/>
      <c r="Q79" s="63"/>
      <c r="R79" s="60">
        <f t="shared" si="76"/>
        <v>0</v>
      </c>
      <c r="T79" s="61"/>
      <c r="U79" s="61"/>
      <c r="V79" s="61"/>
      <c r="W79" s="61"/>
      <c r="X79" s="60">
        <f t="shared" si="77"/>
        <v>0</v>
      </c>
      <c r="Y79" s="194"/>
      <c r="Z79" s="61"/>
      <c r="AA79" s="61"/>
      <c r="AB79" s="61"/>
      <c r="AC79" s="61"/>
      <c r="AD79" s="60">
        <f t="shared" si="78"/>
        <v>0</v>
      </c>
      <c r="AE79" s="194"/>
      <c r="AF79" s="61"/>
      <c r="AG79" s="61"/>
      <c r="AH79" s="61"/>
      <c r="AI79" s="61"/>
      <c r="AJ79" s="60">
        <f t="shared" si="79"/>
        <v>0</v>
      </c>
      <c r="AL79" s="61"/>
      <c r="AM79" s="61"/>
      <c r="AN79" s="61"/>
      <c r="AO79" s="61"/>
      <c r="AP79" s="60">
        <f t="shared" si="80"/>
        <v>0</v>
      </c>
      <c r="AR79" s="60">
        <f t="shared" si="81"/>
        <v>0</v>
      </c>
      <c r="AS79" s="60">
        <f t="shared" si="73"/>
        <v>0</v>
      </c>
      <c r="AT79" s="60">
        <f t="shared" si="73"/>
        <v>0</v>
      </c>
      <c r="AU79" s="60">
        <f t="shared" si="73"/>
        <v>0</v>
      </c>
      <c r="AV79" s="60">
        <f t="shared" si="82"/>
        <v>0</v>
      </c>
    </row>
    <row r="80" spans="1:48" x14ac:dyDescent="0.25">
      <c r="A80" s="21" t="s">
        <v>72</v>
      </c>
      <c r="B80" s="63"/>
      <c r="C80" s="63"/>
      <c r="D80" s="61">
        <f>(((950*0.9923)*180)*2.99)+(((950*0.0077)*180)*0.36)</f>
        <v>507827.07899999997</v>
      </c>
      <c r="E80" s="63"/>
      <c r="F80" s="60">
        <f t="shared" si="74"/>
        <v>507827.07899999997</v>
      </c>
      <c r="H80" s="63"/>
      <c r="I80" s="63"/>
      <c r="J80" s="61">
        <f>(((875*0.9923)*180)*2.99)+(((875*0.0077)*180)*0.36)</f>
        <v>467735.46750000009</v>
      </c>
      <c r="K80" s="63"/>
      <c r="L80" s="60">
        <f t="shared" si="75"/>
        <v>467735.46750000009</v>
      </c>
      <c r="N80" s="63"/>
      <c r="O80" s="63"/>
      <c r="P80" s="61">
        <f>(((1100*0.9923)*180)*2.99)+(((1100*0.0077)*180)*0.37)</f>
        <v>588025.54799999995</v>
      </c>
      <c r="Q80" s="63"/>
      <c r="R80" s="60">
        <f t="shared" si="76"/>
        <v>588025.54799999995</v>
      </c>
      <c r="T80" s="61"/>
      <c r="U80" s="61"/>
      <c r="V80" s="61">
        <f>330*2.95*180</f>
        <v>175230.00000000003</v>
      </c>
      <c r="W80" s="61"/>
      <c r="X80" s="60">
        <f t="shared" si="77"/>
        <v>175230.00000000003</v>
      </c>
      <c r="Y80" s="194"/>
      <c r="Z80" s="61"/>
      <c r="AA80" s="61"/>
      <c r="AB80" s="61">
        <f>600*2.45*180</f>
        <v>264600</v>
      </c>
      <c r="AC80" s="61"/>
      <c r="AD80" s="60">
        <f t="shared" si="78"/>
        <v>264600</v>
      </c>
      <c r="AE80" s="194"/>
      <c r="AF80" s="61"/>
      <c r="AG80" s="61"/>
      <c r="AH80" s="61">
        <f>650*2.4*180</f>
        <v>280800</v>
      </c>
      <c r="AI80" s="61"/>
      <c r="AJ80" s="60">
        <f t="shared" si="79"/>
        <v>280800</v>
      </c>
      <c r="AL80" s="61"/>
      <c r="AM80" s="61"/>
      <c r="AN80" s="61"/>
      <c r="AO80" s="61"/>
      <c r="AP80" s="60">
        <f t="shared" si="80"/>
        <v>0</v>
      </c>
      <c r="AR80" s="60">
        <f t="shared" si="81"/>
        <v>0</v>
      </c>
      <c r="AS80" s="60">
        <f t="shared" si="73"/>
        <v>0</v>
      </c>
      <c r="AT80" s="60">
        <f t="shared" si="73"/>
        <v>2284218.0945000001</v>
      </c>
      <c r="AU80" s="60">
        <f t="shared" si="73"/>
        <v>0</v>
      </c>
      <c r="AV80" s="60">
        <f t="shared" si="82"/>
        <v>2284218.0945000001</v>
      </c>
    </row>
    <row r="81" spans="1:48" x14ac:dyDescent="0.25">
      <c r="A81" s="22" t="s">
        <v>73</v>
      </c>
      <c r="B81" s="64"/>
      <c r="C81" s="64"/>
      <c r="D81" s="61">
        <f>(((805*0.9923)*4.67)*180)+(((805*0.0077)*0.66)*180)</f>
        <v>672208.92269999988</v>
      </c>
      <c r="E81" s="64"/>
      <c r="F81" s="60">
        <f t="shared" si="74"/>
        <v>672208.92269999988</v>
      </c>
      <c r="H81" s="64"/>
      <c r="I81" s="64"/>
      <c r="J81" s="61">
        <f>(((600*0.9923)*4.67)*180)+(((600*0.0077)*0.66)*180)</f>
        <v>501025.28399999999</v>
      </c>
      <c r="K81" s="64"/>
      <c r="L81" s="60">
        <f t="shared" si="75"/>
        <v>501025.28399999999</v>
      </c>
      <c r="N81" s="64"/>
      <c r="O81" s="64"/>
      <c r="P81" s="61">
        <f>(((1100*0.9923)*4.67)*180)+(((1100*0.0077)*0.66)*180)</f>
        <v>918546.35400000005</v>
      </c>
      <c r="Q81" s="64"/>
      <c r="R81" s="60">
        <f t="shared" si="76"/>
        <v>918546.35400000005</v>
      </c>
      <c r="T81" s="91"/>
      <c r="U81" s="91"/>
      <c r="V81" s="61">
        <f>330*4.7*180</f>
        <v>279180</v>
      </c>
      <c r="W81" s="91"/>
      <c r="X81" s="60">
        <f t="shared" si="77"/>
        <v>279180</v>
      </c>
      <c r="Y81" s="194"/>
      <c r="Z81" s="91"/>
      <c r="AA81" s="91"/>
      <c r="AB81" s="61">
        <f>630*4.5*180</f>
        <v>510300</v>
      </c>
      <c r="AC81" s="91"/>
      <c r="AD81" s="60">
        <f t="shared" si="78"/>
        <v>510300</v>
      </c>
      <c r="AE81" s="194"/>
      <c r="AF81" s="91"/>
      <c r="AG81" s="91"/>
      <c r="AH81" s="61">
        <f>650*4.45*180</f>
        <v>520650</v>
      </c>
      <c r="AI81" s="91"/>
      <c r="AJ81" s="60">
        <f t="shared" si="79"/>
        <v>520650</v>
      </c>
      <c r="AL81" s="91"/>
      <c r="AM81" s="91"/>
      <c r="AN81" s="61"/>
      <c r="AO81" s="91"/>
      <c r="AP81" s="60">
        <f t="shared" si="80"/>
        <v>0</v>
      </c>
      <c r="AR81" s="60">
        <f t="shared" si="81"/>
        <v>0</v>
      </c>
      <c r="AS81" s="60">
        <f t="shared" si="73"/>
        <v>0</v>
      </c>
      <c r="AT81" s="60">
        <f t="shared" si="73"/>
        <v>3401910.5607000003</v>
      </c>
      <c r="AU81" s="60">
        <f t="shared" si="73"/>
        <v>0</v>
      </c>
      <c r="AV81" s="60">
        <f t="shared" si="82"/>
        <v>3401910.5607000003</v>
      </c>
    </row>
    <row r="82" spans="1:48" x14ac:dyDescent="0.25">
      <c r="A82" s="23"/>
      <c r="B82" s="65">
        <f>SUM(B68:B81)</f>
        <v>12153502.5</v>
      </c>
      <c r="C82" s="65">
        <f t="shared" ref="C82:F82" si="83">SUM(C68:C81)</f>
        <v>916511</v>
      </c>
      <c r="D82" s="65">
        <f t="shared" si="83"/>
        <v>1180036.0016999999</v>
      </c>
      <c r="E82" s="65">
        <f t="shared" si="83"/>
        <v>0</v>
      </c>
      <c r="F82" s="65">
        <f t="shared" si="83"/>
        <v>14250049.501699999</v>
      </c>
      <c r="H82" s="65">
        <f>SUM(H68:H81)</f>
        <v>12145090.5</v>
      </c>
      <c r="I82" s="65">
        <f t="shared" ref="I82:L82" si="84">SUM(I68:I81)</f>
        <v>916511</v>
      </c>
      <c r="J82" s="65">
        <f t="shared" si="84"/>
        <v>968760.75150000001</v>
      </c>
      <c r="K82" s="65">
        <f t="shared" si="84"/>
        <v>0</v>
      </c>
      <c r="L82" s="65">
        <f t="shared" si="84"/>
        <v>14030362.251499999</v>
      </c>
      <c r="N82" s="65">
        <f>SUM(N68:N81)</f>
        <v>28898463.75</v>
      </c>
      <c r="O82" s="65">
        <f t="shared" ref="O82:R82" si="85">SUM(O68:O81)</f>
        <v>2242857</v>
      </c>
      <c r="P82" s="65">
        <f t="shared" si="85"/>
        <v>1506571.902</v>
      </c>
      <c r="Q82" s="65">
        <f t="shared" si="85"/>
        <v>0</v>
      </c>
      <c r="R82" s="65">
        <f t="shared" si="85"/>
        <v>32647892.651999999</v>
      </c>
      <c r="T82" s="65">
        <f t="shared" ref="T82:X82" si="86">SUM(T68:T81)</f>
        <v>5785832</v>
      </c>
      <c r="U82" s="65">
        <f t="shared" si="86"/>
        <v>288120</v>
      </c>
      <c r="V82" s="65">
        <f t="shared" si="86"/>
        <v>454410</v>
      </c>
      <c r="W82" s="65">
        <f t="shared" si="86"/>
        <v>0</v>
      </c>
      <c r="X82" s="65">
        <f t="shared" si="86"/>
        <v>6528362</v>
      </c>
      <c r="Y82" s="199"/>
      <c r="Z82" s="65">
        <f t="shared" ref="Z82:AD82" si="87">SUM(Z68:Z81)</f>
        <v>9622905.875</v>
      </c>
      <c r="AA82" s="65">
        <f t="shared" si="87"/>
        <v>356472</v>
      </c>
      <c r="AB82" s="65">
        <f t="shared" si="87"/>
        <v>774900</v>
      </c>
      <c r="AC82" s="65">
        <f t="shared" si="87"/>
        <v>0</v>
      </c>
      <c r="AD82" s="65">
        <f t="shared" si="87"/>
        <v>10754277.875</v>
      </c>
      <c r="AE82" s="199"/>
      <c r="AF82" s="65">
        <f t="shared" ref="AF82:AJ82" si="88">SUM(AF68:AF81)</f>
        <v>10385672.75</v>
      </c>
      <c r="AG82" s="65">
        <f t="shared" si="88"/>
        <v>470345</v>
      </c>
      <c r="AH82" s="65">
        <f t="shared" si="88"/>
        <v>801450</v>
      </c>
      <c r="AI82" s="65">
        <f t="shared" si="88"/>
        <v>0</v>
      </c>
      <c r="AJ82" s="65">
        <f t="shared" si="88"/>
        <v>11657467.75</v>
      </c>
      <c r="AL82" s="65">
        <f>SUM(AL68:AL81)</f>
        <v>0</v>
      </c>
      <c r="AM82" s="65">
        <f t="shared" ref="AM82:AP82" si="89">SUM(AM68:AM81)</f>
        <v>0</v>
      </c>
      <c r="AN82" s="65">
        <f t="shared" si="89"/>
        <v>0</v>
      </c>
      <c r="AO82" s="65">
        <f t="shared" si="89"/>
        <v>1993322</v>
      </c>
      <c r="AP82" s="65">
        <f t="shared" si="89"/>
        <v>1993322</v>
      </c>
      <c r="AR82" s="65">
        <f>SUM(AR68:AR81)</f>
        <v>78991467.375</v>
      </c>
      <c r="AS82" s="65">
        <f t="shared" ref="AS82:AV82" si="90">SUM(AS68:AS81)</f>
        <v>5190816</v>
      </c>
      <c r="AT82" s="65">
        <f t="shared" si="90"/>
        <v>5686128.6552000009</v>
      </c>
      <c r="AU82" s="65">
        <f t="shared" si="90"/>
        <v>1993322</v>
      </c>
      <c r="AV82" s="65">
        <f t="shared" si="90"/>
        <v>91861734.030200005</v>
      </c>
    </row>
    <row r="83" spans="1:48" x14ac:dyDescent="0.25">
      <c r="B83" s="57"/>
      <c r="C83" s="57"/>
      <c r="D83" s="57"/>
      <c r="E83" s="57"/>
      <c r="F83" s="57"/>
      <c r="H83" s="57"/>
      <c r="I83" s="57"/>
      <c r="J83" s="57"/>
      <c r="K83" s="57"/>
      <c r="L83" s="57"/>
      <c r="N83" s="57"/>
      <c r="O83" s="57"/>
      <c r="P83" s="57"/>
      <c r="Q83" s="57"/>
      <c r="R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L83" s="57"/>
      <c r="AM83" s="57"/>
      <c r="AN83" s="57"/>
      <c r="AO83" s="57"/>
      <c r="AP83" s="57"/>
      <c r="AR83" s="57"/>
      <c r="AS83" s="57"/>
      <c r="AT83" s="57"/>
      <c r="AU83" s="57"/>
      <c r="AV83" s="57"/>
    </row>
    <row r="84" spans="1:48" x14ac:dyDescent="0.25">
      <c r="A84" s="24"/>
      <c r="B84" s="66" t="s">
        <v>157</v>
      </c>
      <c r="C84" s="66" t="s">
        <v>158</v>
      </c>
      <c r="D84" s="66" t="s">
        <v>159</v>
      </c>
      <c r="E84" s="67" t="str">
        <f>E67</f>
        <v>Other</v>
      </c>
      <c r="F84" s="67" t="str">
        <f>F67</f>
        <v>FY29- Mtn</v>
      </c>
      <c r="H84" s="66" t="s">
        <v>157</v>
      </c>
      <c r="I84" s="66" t="s">
        <v>158</v>
      </c>
      <c r="J84" s="66" t="s">
        <v>159</v>
      </c>
      <c r="K84" s="67" t="str">
        <f>K67</f>
        <v>Other</v>
      </c>
      <c r="L84" s="67" t="str">
        <f>L67</f>
        <v>FY29- Bon</v>
      </c>
      <c r="N84" s="66" t="s">
        <v>157</v>
      </c>
      <c r="O84" s="66" t="s">
        <v>158</v>
      </c>
      <c r="P84" s="66" t="s">
        <v>159</v>
      </c>
      <c r="Q84" s="67" t="str">
        <f>Q67</f>
        <v>Other</v>
      </c>
      <c r="R84" s="67" t="str">
        <f>R67</f>
        <v>FY29- East</v>
      </c>
      <c r="T84" s="66" t="s">
        <v>157</v>
      </c>
      <c r="U84" s="66" t="s">
        <v>158</v>
      </c>
      <c r="V84" s="66" t="s">
        <v>159</v>
      </c>
      <c r="W84" s="67" t="str">
        <f>W67</f>
        <v>Other</v>
      </c>
      <c r="X84" s="67" t="str">
        <f>X67</f>
        <v>FY29- Cactus</v>
      </c>
      <c r="Y84" s="198"/>
      <c r="Z84" s="66" t="s">
        <v>157</v>
      </c>
      <c r="AA84" s="66" t="s">
        <v>158</v>
      </c>
      <c r="AB84" s="66" t="s">
        <v>159</v>
      </c>
      <c r="AC84" s="67" t="str">
        <f>AC67</f>
        <v>Other</v>
      </c>
      <c r="AD84" s="67" t="str">
        <f>AD67</f>
        <v>FY29- Sahara</v>
      </c>
      <c r="AE84" s="198"/>
      <c r="AF84" s="66" t="s">
        <v>157</v>
      </c>
      <c r="AG84" s="66" t="s">
        <v>158</v>
      </c>
      <c r="AH84" s="66" t="s">
        <v>159</v>
      </c>
      <c r="AI84" s="67" t="str">
        <f>AI67</f>
        <v>Other</v>
      </c>
      <c r="AJ84" s="67" t="str">
        <f>AJ67</f>
        <v>FY29- VV</v>
      </c>
      <c r="AL84" s="66" t="s">
        <v>157</v>
      </c>
      <c r="AM84" s="66" t="s">
        <v>158</v>
      </c>
      <c r="AN84" s="66" t="s">
        <v>159</v>
      </c>
      <c r="AO84" s="67" t="str">
        <f>AO67</f>
        <v>Grant</v>
      </c>
      <c r="AP84" s="67" t="str">
        <f>AP67</f>
        <v>FY29 - Central</v>
      </c>
      <c r="AR84" s="66" t="s">
        <v>157</v>
      </c>
      <c r="AS84" s="66" t="s">
        <v>158</v>
      </c>
      <c r="AT84" s="66" t="s">
        <v>159</v>
      </c>
      <c r="AU84" s="67" t="str">
        <f>AU67</f>
        <v>Other</v>
      </c>
      <c r="AV84" s="67" t="str">
        <f>AV67</f>
        <v>FY29- Sys</v>
      </c>
    </row>
    <row r="85" spans="1:48" x14ac:dyDescent="0.25">
      <c r="A85" s="20" t="s">
        <v>74</v>
      </c>
      <c r="B85" s="68"/>
      <c r="C85" s="68"/>
      <c r="D85" s="68"/>
      <c r="E85" s="68"/>
      <c r="F85" s="68"/>
      <c r="H85" s="68"/>
      <c r="I85" s="68"/>
      <c r="J85" s="68"/>
      <c r="K85" s="68"/>
      <c r="L85" s="68"/>
      <c r="N85" s="75"/>
      <c r="O85" s="75"/>
      <c r="P85" s="75"/>
      <c r="Q85" s="75"/>
      <c r="R85" s="75">
        <f>SUM(N85:Q85)</f>
        <v>0</v>
      </c>
      <c r="T85" s="68"/>
      <c r="U85" s="68"/>
      <c r="V85" s="68"/>
      <c r="W85" s="68"/>
      <c r="X85" s="68"/>
      <c r="Y85" s="57"/>
      <c r="Z85" s="68"/>
      <c r="AA85" s="68"/>
      <c r="AB85" s="68"/>
      <c r="AC85" s="68"/>
      <c r="AD85" s="68"/>
      <c r="AE85" s="57"/>
      <c r="AF85" s="68"/>
      <c r="AG85" s="68"/>
      <c r="AH85" s="68"/>
      <c r="AI85" s="68"/>
      <c r="AJ85" s="68"/>
      <c r="AL85" s="75"/>
      <c r="AM85" s="75"/>
      <c r="AN85" s="75"/>
      <c r="AO85" s="75"/>
      <c r="AP85" s="68"/>
      <c r="AR85" s="75">
        <f>B85+H85+N85+T85+AL85+AF85+Z85</f>
        <v>0</v>
      </c>
      <c r="AS85" s="75">
        <f t="shared" ref="AS85:AU87" si="91">C85+I85+O85+U85+AM85+AG85+AA85</f>
        <v>0</v>
      </c>
      <c r="AT85" s="75">
        <f t="shared" si="91"/>
        <v>0</v>
      </c>
      <c r="AU85" s="75">
        <f t="shared" si="91"/>
        <v>0</v>
      </c>
      <c r="AV85" s="93">
        <f>SUM(AR85:AU85)</f>
        <v>0</v>
      </c>
    </row>
    <row r="86" spans="1:48" x14ac:dyDescent="0.25">
      <c r="A86" s="21" t="s">
        <v>75</v>
      </c>
      <c r="B86" s="69"/>
      <c r="C86" s="69"/>
      <c r="D86" s="69"/>
      <c r="E86" s="69"/>
      <c r="F86" s="69"/>
      <c r="H86" s="69"/>
      <c r="I86" s="69"/>
      <c r="J86" s="69"/>
      <c r="K86" s="69"/>
      <c r="L86" s="69"/>
      <c r="N86" s="63"/>
      <c r="O86" s="63"/>
      <c r="P86" s="63"/>
      <c r="Q86" s="63"/>
      <c r="R86" s="75">
        <f t="shared" ref="R86:R87" si="92">SUM(N86:Q86)</f>
        <v>0</v>
      </c>
      <c r="T86" s="69"/>
      <c r="U86" s="69"/>
      <c r="V86" s="69"/>
      <c r="W86" s="69"/>
      <c r="X86" s="69"/>
      <c r="Y86" s="57"/>
      <c r="Z86" s="69"/>
      <c r="AA86" s="69"/>
      <c r="AB86" s="69"/>
      <c r="AC86" s="69"/>
      <c r="AD86" s="69"/>
      <c r="AE86" s="57"/>
      <c r="AF86" s="69"/>
      <c r="AG86" s="69"/>
      <c r="AH86" s="69"/>
      <c r="AI86" s="69"/>
      <c r="AJ86" s="69"/>
      <c r="AL86" s="63"/>
      <c r="AM86" s="63"/>
      <c r="AN86" s="63"/>
      <c r="AO86" s="63"/>
      <c r="AP86" s="69"/>
      <c r="AR86" s="75">
        <f t="shared" ref="AR86:AR87" si="93">B86+H86+N86+T86+AL86+AF86+Z86</f>
        <v>0</v>
      </c>
      <c r="AS86" s="75">
        <f t="shared" si="91"/>
        <v>0</v>
      </c>
      <c r="AT86" s="75">
        <f t="shared" si="91"/>
        <v>0</v>
      </c>
      <c r="AU86" s="75">
        <f t="shared" si="91"/>
        <v>0</v>
      </c>
      <c r="AV86" s="93">
        <f t="shared" ref="AV86:AV87" si="94">SUM(AR86:AU86)</f>
        <v>0</v>
      </c>
    </row>
    <row r="87" spans="1:48" x14ac:dyDescent="0.25">
      <c r="A87" s="22" t="s">
        <v>76</v>
      </c>
      <c r="B87" s="70"/>
      <c r="C87" s="70"/>
      <c r="D87" s="70"/>
      <c r="E87" s="70"/>
      <c r="F87" s="70"/>
      <c r="H87" s="70"/>
      <c r="I87" s="70"/>
      <c r="J87" s="70"/>
      <c r="K87" s="70"/>
      <c r="L87" s="70"/>
      <c r="N87" s="64"/>
      <c r="O87" s="64"/>
      <c r="P87" s="64"/>
      <c r="Q87" s="64">
        <v>0</v>
      </c>
      <c r="R87" s="75">
        <f t="shared" si="92"/>
        <v>0</v>
      </c>
      <c r="T87" s="70"/>
      <c r="U87" s="70"/>
      <c r="V87" s="70"/>
      <c r="W87" s="70"/>
      <c r="X87" s="70"/>
      <c r="Y87" s="57"/>
      <c r="Z87" s="70"/>
      <c r="AA87" s="70"/>
      <c r="AB87" s="70"/>
      <c r="AC87" s="70"/>
      <c r="AD87" s="70"/>
      <c r="AE87" s="57"/>
      <c r="AF87" s="70"/>
      <c r="AG87" s="70"/>
      <c r="AH87" s="70"/>
      <c r="AI87" s="70"/>
      <c r="AJ87" s="70"/>
      <c r="AL87" s="64"/>
      <c r="AM87" s="64"/>
      <c r="AN87" s="64"/>
      <c r="AO87" s="64"/>
      <c r="AP87" s="70"/>
      <c r="AR87" s="75">
        <f t="shared" si="93"/>
        <v>0</v>
      </c>
      <c r="AS87" s="75">
        <f t="shared" si="91"/>
        <v>0</v>
      </c>
      <c r="AT87" s="75">
        <f t="shared" si="91"/>
        <v>0</v>
      </c>
      <c r="AU87" s="75">
        <f t="shared" si="91"/>
        <v>0</v>
      </c>
      <c r="AV87" s="93">
        <f t="shared" si="94"/>
        <v>0</v>
      </c>
    </row>
    <row r="88" spans="1:48" x14ac:dyDescent="0.25">
      <c r="A88" s="24"/>
      <c r="B88" s="71">
        <f>SUM(B85:B87)</f>
        <v>0</v>
      </c>
      <c r="C88" s="71">
        <f t="shared" ref="C88:F88" si="95">SUM(C85:C87)</f>
        <v>0</v>
      </c>
      <c r="D88" s="71">
        <f t="shared" si="95"/>
        <v>0</v>
      </c>
      <c r="E88" s="71">
        <f t="shared" si="95"/>
        <v>0</v>
      </c>
      <c r="F88" s="71">
        <f t="shared" si="95"/>
        <v>0</v>
      </c>
      <c r="H88" s="71">
        <f>SUM(H85:H87)</f>
        <v>0</v>
      </c>
      <c r="I88" s="71">
        <f t="shared" ref="I88:L88" si="96">SUM(I85:I87)</f>
        <v>0</v>
      </c>
      <c r="J88" s="71">
        <f t="shared" si="96"/>
        <v>0</v>
      </c>
      <c r="K88" s="71">
        <f t="shared" si="96"/>
        <v>0</v>
      </c>
      <c r="L88" s="71">
        <f t="shared" si="96"/>
        <v>0</v>
      </c>
      <c r="N88" s="88">
        <f>SUM(N85:N87)</f>
        <v>0</v>
      </c>
      <c r="O88" s="88">
        <f t="shared" ref="O88:R88" si="97">SUM(O85:O87)</f>
        <v>0</v>
      </c>
      <c r="P88" s="88">
        <f t="shared" si="97"/>
        <v>0</v>
      </c>
      <c r="Q88" s="88">
        <f t="shared" si="97"/>
        <v>0</v>
      </c>
      <c r="R88" s="88">
        <f t="shared" si="97"/>
        <v>0</v>
      </c>
      <c r="T88" s="71">
        <f t="shared" ref="T88:X88" si="98">SUM(T85:T87)</f>
        <v>0</v>
      </c>
      <c r="U88" s="71">
        <f t="shared" si="98"/>
        <v>0</v>
      </c>
      <c r="V88" s="71">
        <f t="shared" si="98"/>
        <v>0</v>
      </c>
      <c r="W88" s="71">
        <f t="shared" si="98"/>
        <v>0</v>
      </c>
      <c r="X88" s="71">
        <f t="shared" si="98"/>
        <v>0</v>
      </c>
      <c r="Y88" s="200"/>
      <c r="Z88" s="71">
        <f t="shared" ref="Z88:AD88" si="99">SUM(Z85:Z87)</f>
        <v>0</v>
      </c>
      <c r="AA88" s="71">
        <f t="shared" si="99"/>
        <v>0</v>
      </c>
      <c r="AB88" s="71">
        <f t="shared" si="99"/>
        <v>0</v>
      </c>
      <c r="AC88" s="71">
        <f t="shared" si="99"/>
        <v>0</v>
      </c>
      <c r="AD88" s="71">
        <f t="shared" si="99"/>
        <v>0</v>
      </c>
      <c r="AE88" s="200"/>
      <c r="AF88" s="71">
        <f t="shared" ref="AF88:AJ88" si="100">SUM(AF85:AF87)</f>
        <v>0</v>
      </c>
      <c r="AG88" s="71">
        <f t="shared" si="100"/>
        <v>0</v>
      </c>
      <c r="AH88" s="71">
        <f t="shared" si="100"/>
        <v>0</v>
      </c>
      <c r="AI88" s="71">
        <f t="shared" si="100"/>
        <v>0</v>
      </c>
      <c r="AJ88" s="71">
        <f t="shared" si="100"/>
        <v>0</v>
      </c>
      <c r="AL88" s="88">
        <f>SUM(AL85:AL87)</f>
        <v>0</v>
      </c>
      <c r="AM88" s="88">
        <f t="shared" ref="AM88:AP88" si="101">SUM(AM85:AM87)</f>
        <v>0</v>
      </c>
      <c r="AN88" s="88">
        <f t="shared" si="101"/>
        <v>0</v>
      </c>
      <c r="AO88" s="88">
        <f t="shared" si="101"/>
        <v>0</v>
      </c>
      <c r="AP88" s="71">
        <f t="shared" si="101"/>
        <v>0</v>
      </c>
      <c r="AR88" s="88">
        <f>SUM(AR85:AR87)</f>
        <v>0</v>
      </c>
      <c r="AS88" s="88">
        <f t="shared" ref="AS88:AV88" si="102">SUM(AS85:AS87)</f>
        <v>0</v>
      </c>
      <c r="AT88" s="88">
        <f t="shared" si="102"/>
        <v>0</v>
      </c>
      <c r="AU88" s="88">
        <f t="shared" si="102"/>
        <v>0</v>
      </c>
      <c r="AV88" s="71">
        <f t="shared" si="102"/>
        <v>0</v>
      </c>
    </row>
    <row r="89" spans="1:48" x14ac:dyDescent="0.25">
      <c r="B89" s="57"/>
      <c r="C89" s="57"/>
      <c r="D89" s="57"/>
      <c r="E89" s="57"/>
      <c r="F89" s="57"/>
      <c r="H89" s="57"/>
      <c r="I89" s="57"/>
      <c r="J89" s="57"/>
      <c r="K89" s="57"/>
      <c r="L89" s="57"/>
      <c r="N89" s="57"/>
      <c r="O89" s="57"/>
      <c r="P89" s="57"/>
      <c r="Q89" s="57"/>
      <c r="R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L89" s="57"/>
      <c r="AM89" s="57"/>
      <c r="AN89" s="57"/>
      <c r="AO89" s="57"/>
      <c r="AP89" s="57"/>
      <c r="AR89" s="57"/>
      <c r="AS89" s="57"/>
      <c r="AT89" s="57"/>
      <c r="AU89" s="57"/>
      <c r="AV89" s="57"/>
    </row>
    <row r="90" spans="1:48" ht="16.5" thickBot="1" x14ac:dyDescent="0.3">
      <c r="B90" s="57"/>
      <c r="C90" s="57"/>
      <c r="D90" s="57"/>
      <c r="E90" s="57"/>
      <c r="F90" s="57"/>
      <c r="H90" s="57"/>
      <c r="I90" s="57"/>
      <c r="J90" s="57"/>
      <c r="K90" s="57"/>
      <c r="L90" s="57"/>
      <c r="N90" s="57"/>
      <c r="O90" s="57"/>
      <c r="P90" s="57"/>
      <c r="Q90" s="57"/>
      <c r="R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L90" s="57"/>
      <c r="AM90" s="57"/>
      <c r="AN90" s="57"/>
      <c r="AO90" s="57"/>
      <c r="AP90" s="57"/>
      <c r="AR90" s="57"/>
      <c r="AS90" s="57"/>
      <c r="AT90" s="57"/>
      <c r="AU90" s="57"/>
      <c r="AV90" s="57"/>
    </row>
    <row r="91" spans="1:48" x14ac:dyDescent="0.25">
      <c r="A91" s="25"/>
      <c r="B91" s="72" t="s">
        <v>157</v>
      </c>
      <c r="C91" s="72" t="s">
        <v>158</v>
      </c>
      <c r="D91" s="72" t="s">
        <v>159</v>
      </c>
      <c r="E91" s="73" t="str">
        <f>E84</f>
        <v>Other</v>
      </c>
      <c r="F91" s="73" t="str">
        <f>F84</f>
        <v>FY29- Mtn</v>
      </c>
      <c r="H91" s="72" t="s">
        <v>157</v>
      </c>
      <c r="I91" s="72" t="s">
        <v>158</v>
      </c>
      <c r="J91" s="72" t="s">
        <v>159</v>
      </c>
      <c r="K91" s="73" t="str">
        <f>K84</f>
        <v>Other</v>
      </c>
      <c r="L91" s="73" t="str">
        <f>L84</f>
        <v>FY29- Bon</v>
      </c>
      <c r="N91" s="72" t="s">
        <v>157</v>
      </c>
      <c r="O91" s="72" t="s">
        <v>158</v>
      </c>
      <c r="P91" s="72" t="s">
        <v>159</v>
      </c>
      <c r="Q91" s="73" t="str">
        <f>Q84</f>
        <v>Other</v>
      </c>
      <c r="R91" s="73" t="str">
        <f>R84</f>
        <v>FY29- East</v>
      </c>
      <c r="T91" s="72" t="s">
        <v>157</v>
      </c>
      <c r="U91" s="72" t="s">
        <v>158</v>
      </c>
      <c r="V91" s="72" t="s">
        <v>159</v>
      </c>
      <c r="W91" s="73" t="str">
        <f>W84</f>
        <v>Other</v>
      </c>
      <c r="X91" s="73" t="str">
        <f>X84</f>
        <v>FY29- Cactus</v>
      </c>
      <c r="Y91" s="198"/>
      <c r="Z91" s="72" t="s">
        <v>157</v>
      </c>
      <c r="AA91" s="72" t="s">
        <v>158</v>
      </c>
      <c r="AB91" s="72" t="s">
        <v>159</v>
      </c>
      <c r="AC91" s="73" t="str">
        <f>AC84</f>
        <v>Other</v>
      </c>
      <c r="AD91" s="73" t="str">
        <f>AD84</f>
        <v>FY29- Sahara</v>
      </c>
      <c r="AE91" s="198"/>
      <c r="AF91" s="72" t="s">
        <v>157</v>
      </c>
      <c r="AG91" s="72" t="s">
        <v>158</v>
      </c>
      <c r="AH91" s="72" t="s">
        <v>159</v>
      </c>
      <c r="AI91" s="73" t="str">
        <f>AI84</f>
        <v>Other</v>
      </c>
      <c r="AJ91" s="73" t="str">
        <f>AJ84</f>
        <v>FY29- VV</v>
      </c>
      <c r="AL91" s="72" t="s">
        <v>157</v>
      </c>
      <c r="AM91" s="72" t="s">
        <v>158</v>
      </c>
      <c r="AN91" s="72" t="s">
        <v>159</v>
      </c>
      <c r="AO91" s="73" t="str">
        <f>AO84</f>
        <v>Grant</v>
      </c>
      <c r="AP91" s="73" t="str">
        <f>AP84</f>
        <v>FY29 - Central</v>
      </c>
      <c r="AR91" s="72" t="s">
        <v>157</v>
      </c>
      <c r="AS91" s="72" t="s">
        <v>158</v>
      </c>
      <c r="AT91" s="72" t="s">
        <v>159</v>
      </c>
      <c r="AU91" s="73" t="str">
        <f>AU84</f>
        <v>Other</v>
      </c>
      <c r="AV91" s="73" t="str">
        <f>AV84</f>
        <v>FY29- Sys</v>
      </c>
    </row>
    <row r="92" spans="1:48" x14ac:dyDescent="0.25">
      <c r="A92" s="26"/>
      <c r="B92" s="74"/>
      <c r="C92" s="74"/>
      <c r="D92" s="74"/>
      <c r="E92" s="74"/>
      <c r="F92" s="74"/>
      <c r="H92" s="74"/>
      <c r="I92" s="74"/>
      <c r="J92" s="74"/>
      <c r="K92" s="74"/>
      <c r="L92" s="74"/>
      <c r="N92" s="74"/>
      <c r="O92" s="74"/>
      <c r="P92" s="74"/>
      <c r="Q92" s="74"/>
      <c r="R92" s="74"/>
      <c r="T92" s="74"/>
      <c r="U92" s="74"/>
      <c r="V92" s="74"/>
      <c r="W92" s="74"/>
      <c r="X92" s="74"/>
      <c r="Y92" s="57"/>
      <c r="Z92" s="74"/>
      <c r="AA92" s="74"/>
      <c r="AB92" s="74"/>
      <c r="AC92" s="74"/>
      <c r="AD92" s="74"/>
      <c r="AE92" s="57"/>
      <c r="AF92" s="74"/>
      <c r="AG92" s="74"/>
      <c r="AH92" s="74"/>
      <c r="AI92" s="74"/>
      <c r="AJ92" s="74"/>
      <c r="AL92" s="74"/>
      <c r="AM92" s="74"/>
      <c r="AN92" s="74"/>
      <c r="AO92" s="74"/>
      <c r="AP92" s="74"/>
      <c r="AR92" s="74"/>
      <c r="AS92" s="74"/>
      <c r="AT92" s="74"/>
      <c r="AU92" s="74"/>
      <c r="AV92" s="74"/>
    </row>
    <row r="93" spans="1:48" x14ac:dyDescent="0.25">
      <c r="A93" s="20" t="s">
        <v>34</v>
      </c>
      <c r="B93" s="75">
        <f>170100*1.01*1.01*1.01</f>
        <v>175254.20010000002</v>
      </c>
      <c r="C93" s="75"/>
      <c r="D93" s="75"/>
      <c r="E93" s="75"/>
      <c r="F93" s="75">
        <f>SUM(B93:E93)</f>
        <v>175254.20010000002</v>
      </c>
      <c r="H93" s="75">
        <f>170100*1.01*1.01*1.01</f>
        <v>175254.20010000002</v>
      </c>
      <c r="I93" s="75"/>
      <c r="J93" s="75"/>
      <c r="K93" s="75"/>
      <c r="L93" s="75">
        <f>SUM(H93:K93)</f>
        <v>175254.20010000002</v>
      </c>
      <c r="N93" s="75">
        <f>225750*1.01*1.01*1.01</f>
        <v>232590.45075000002</v>
      </c>
      <c r="O93" s="75"/>
      <c r="P93" s="75"/>
      <c r="Q93" s="75"/>
      <c r="R93" s="75">
        <f>SUM(N93:Q93)</f>
        <v>232590.45075000002</v>
      </c>
      <c r="T93" s="75">
        <f>125000*1.01*1.01*1.01</f>
        <v>128787.625</v>
      </c>
      <c r="U93" s="75"/>
      <c r="V93" s="75"/>
      <c r="W93" s="75"/>
      <c r="X93" s="75">
        <f>SUM(T93:W93)</f>
        <v>128787.625</v>
      </c>
      <c r="Y93" s="194"/>
      <c r="Z93" s="75">
        <f>135000*1.01*1.01</f>
        <v>137713.5</v>
      </c>
      <c r="AA93" s="75"/>
      <c r="AB93" s="75"/>
      <c r="AC93" s="75"/>
      <c r="AD93" s="75">
        <f>SUM(Z93:AC93)</f>
        <v>137713.5</v>
      </c>
      <c r="AE93" s="194"/>
      <c r="AF93" s="75">
        <f>140000*1.01</f>
        <v>141400</v>
      </c>
      <c r="AG93" s="75"/>
      <c r="AH93" s="75"/>
      <c r="AI93" s="75"/>
      <c r="AJ93" s="75">
        <f>SUM(AF93:AI93)</f>
        <v>141400</v>
      </c>
      <c r="AL93" s="75"/>
      <c r="AM93" s="75"/>
      <c r="AN93" s="75"/>
      <c r="AO93" s="75"/>
      <c r="AP93" s="75">
        <f>SUM(AL93:AO93)</f>
        <v>0</v>
      </c>
      <c r="AR93" s="75">
        <f>B93+H93+N93+T93+AL93+AF93+Z93</f>
        <v>990999.97595000011</v>
      </c>
      <c r="AS93" s="75">
        <f t="shared" ref="AS93:AU108" si="103">C93+I93+O93+U93+AM93+AG93+AA93</f>
        <v>0</v>
      </c>
      <c r="AT93" s="75">
        <f t="shared" si="103"/>
        <v>0</v>
      </c>
      <c r="AU93" s="75">
        <f t="shared" si="103"/>
        <v>0</v>
      </c>
      <c r="AV93" s="75">
        <f>SUM(AR93:AU93)</f>
        <v>990999.97595000011</v>
      </c>
    </row>
    <row r="94" spans="1:48" x14ac:dyDescent="0.25">
      <c r="A94" s="21" t="s">
        <v>77</v>
      </c>
      <c r="B94" s="63">
        <f>(105000+87550)*1.03*1.01*1.01*1.01</f>
        <v>204335.99127650002</v>
      </c>
      <c r="C94" s="63"/>
      <c r="D94" s="63"/>
      <c r="E94" s="63"/>
      <c r="F94" s="75">
        <f t="shared" ref="F94:F108" si="104">SUM(B94:E94)</f>
        <v>204335.99127650002</v>
      </c>
      <c r="H94" s="63">
        <f>((98000+90000+95000)+85000)*1.03*1.01*1.01*1.01</f>
        <v>390525.29104000004</v>
      </c>
      <c r="I94" s="63"/>
      <c r="J94" s="63"/>
      <c r="K94" s="63"/>
      <c r="L94" s="75">
        <f t="shared" ref="L94:L108" si="105">SUM(H94:K94)</f>
        <v>390525.29104000004</v>
      </c>
      <c r="N94" s="63">
        <f>(105000+105000+105000+110000+83000)*1.03*1.01*1.01*1.01</f>
        <v>539094.69524000003</v>
      </c>
      <c r="O94" s="63"/>
      <c r="P94" s="63"/>
      <c r="Q94" s="63"/>
      <c r="R94" s="75">
        <f t="shared" ref="R94:R108" si="106">SUM(N94:Q94)</f>
        <v>539094.69524000003</v>
      </c>
      <c r="T94" s="63">
        <v>0</v>
      </c>
      <c r="U94" s="63"/>
      <c r="V94" s="63"/>
      <c r="W94" s="63"/>
      <c r="X94" s="75">
        <f t="shared" ref="X94:X108" si="107">SUM(T94:W94)</f>
        <v>0</v>
      </c>
      <c r="Y94" s="194"/>
      <c r="Z94" s="63">
        <f>(100000+90000)*1.01</f>
        <v>191900</v>
      </c>
      <c r="AA94" s="63"/>
      <c r="AB94" s="63"/>
      <c r="AC94" s="63"/>
      <c r="AD94" s="75">
        <f t="shared" ref="AD94:AD108" si="108">SUM(Z94:AC94)</f>
        <v>191900</v>
      </c>
      <c r="AE94" s="194"/>
      <c r="AF94" s="63">
        <f>(90000*AF40)*1.01</f>
        <v>181800</v>
      </c>
      <c r="AG94" s="63"/>
      <c r="AH94" s="63"/>
      <c r="AI94" s="63"/>
      <c r="AJ94" s="75">
        <f t="shared" ref="AJ94:AJ108" si="109">SUM(AF94:AI94)</f>
        <v>181800</v>
      </c>
      <c r="AL94" s="63"/>
      <c r="AM94" s="63">
        <f>118450*1.01*1.01*1.01</f>
        <v>122039.15345</v>
      </c>
      <c r="AN94" s="63"/>
      <c r="AO94" s="63"/>
      <c r="AP94" s="75">
        <f t="shared" ref="AP94:AP108" si="110">SUM(AL94:AO94)</f>
        <v>122039.15345</v>
      </c>
      <c r="AR94" s="75">
        <f t="shared" ref="AR94:AR108" si="111">B94+H94+N94+T94+AL94+AF94+Z94</f>
        <v>1507655.9775565001</v>
      </c>
      <c r="AS94" s="75">
        <f t="shared" si="103"/>
        <v>122039.15345</v>
      </c>
      <c r="AT94" s="75">
        <f t="shared" si="103"/>
        <v>0</v>
      </c>
      <c r="AU94" s="75">
        <f t="shared" si="103"/>
        <v>0</v>
      </c>
      <c r="AV94" s="75">
        <f t="shared" ref="AV94:AV108" si="112">SUM(AR94:AU94)</f>
        <v>1629695.1310065002</v>
      </c>
    </row>
    <row r="95" spans="1:48" x14ac:dyDescent="0.25">
      <c r="A95" s="21" t="s">
        <v>39</v>
      </c>
      <c r="B95" s="63">
        <f>(70000+88000)*1.01*1.01*1.01</f>
        <v>162787.55799999999</v>
      </c>
      <c r="C95" s="63"/>
      <c r="D95" s="63"/>
      <c r="E95" s="63"/>
      <c r="F95" s="75">
        <f t="shared" si="104"/>
        <v>162787.55799999999</v>
      </c>
      <c r="H95" s="63">
        <f>(71000+65000)*1.01*1.01*1.01</f>
        <v>140120.93600000002</v>
      </c>
      <c r="I95" s="63"/>
      <c r="J95" s="63"/>
      <c r="K95" s="63"/>
      <c r="L95" s="75">
        <f t="shared" si="105"/>
        <v>140120.93600000002</v>
      </c>
      <c r="N95" s="63">
        <f>(80350*N44)*1.01*1.01*1.01</f>
        <v>413923.42674999998</v>
      </c>
      <c r="O95" s="63"/>
      <c r="P95" s="63"/>
      <c r="Q95" s="63"/>
      <c r="R95" s="75">
        <f t="shared" si="106"/>
        <v>413923.42674999998</v>
      </c>
      <c r="T95" s="63"/>
      <c r="U95" s="63"/>
      <c r="V95" s="63"/>
      <c r="W95" s="63"/>
      <c r="X95" s="75">
        <f t="shared" si="107"/>
        <v>0</v>
      </c>
      <c r="Y95" s="194"/>
      <c r="Z95" s="63">
        <f>85000</f>
        <v>85000</v>
      </c>
      <c r="AA95" s="63"/>
      <c r="AB95" s="63"/>
      <c r="AC95" s="63"/>
      <c r="AD95" s="75">
        <f t="shared" si="108"/>
        <v>85000</v>
      </c>
      <c r="AE95" s="194"/>
      <c r="AF95" s="63">
        <v>85000</v>
      </c>
      <c r="AG95" s="63"/>
      <c r="AH95" s="63"/>
      <c r="AI95" s="63"/>
      <c r="AJ95" s="75">
        <f t="shared" si="109"/>
        <v>85000</v>
      </c>
      <c r="AL95" s="63"/>
      <c r="AM95" s="63"/>
      <c r="AN95" s="63"/>
      <c r="AO95" s="63">
        <v>200000</v>
      </c>
      <c r="AP95" s="75">
        <f t="shared" si="110"/>
        <v>200000</v>
      </c>
      <c r="AR95" s="75">
        <f t="shared" si="111"/>
        <v>886831.92075000005</v>
      </c>
      <c r="AS95" s="75">
        <f t="shared" si="103"/>
        <v>0</v>
      </c>
      <c r="AT95" s="75">
        <f t="shared" si="103"/>
        <v>0</v>
      </c>
      <c r="AU95" s="75">
        <f t="shared" si="103"/>
        <v>200000</v>
      </c>
      <c r="AV95" s="75">
        <f t="shared" si="112"/>
        <v>1086831.92075</v>
      </c>
    </row>
    <row r="96" spans="1:48" x14ac:dyDescent="0.25">
      <c r="A96" s="21" t="s">
        <v>78</v>
      </c>
      <c r="B96" s="63">
        <f>(75000+43000)*1.01*1.01*1.01</f>
        <v>121575.51800000001</v>
      </c>
      <c r="C96" s="63"/>
      <c r="D96" s="63"/>
      <c r="E96" s="63"/>
      <c r="F96" s="75">
        <f t="shared" si="104"/>
        <v>121575.51800000001</v>
      </c>
      <c r="H96" s="63">
        <f>(60000+75000)*1.01*1.01*1.01</f>
        <v>139090.63500000001</v>
      </c>
      <c r="I96" s="63"/>
      <c r="J96" s="63"/>
      <c r="K96" s="63"/>
      <c r="L96" s="75">
        <f t="shared" si="105"/>
        <v>139090.63500000001</v>
      </c>
      <c r="N96" s="63"/>
      <c r="O96" s="63"/>
      <c r="P96" s="63"/>
      <c r="Q96" s="63"/>
      <c r="R96" s="75">
        <f t="shared" si="106"/>
        <v>0</v>
      </c>
      <c r="T96" s="63"/>
      <c r="U96" s="63"/>
      <c r="V96" s="63"/>
      <c r="W96" s="63"/>
      <c r="X96" s="75">
        <f t="shared" si="107"/>
        <v>0</v>
      </c>
      <c r="Y96" s="194"/>
      <c r="Z96" s="63"/>
      <c r="AA96" s="63"/>
      <c r="AB96" s="63"/>
      <c r="AC96" s="63"/>
      <c r="AD96" s="75">
        <f t="shared" si="108"/>
        <v>0</v>
      </c>
      <c r="AE96" s="194"/>
      <c r="AF96" s="63">
        <v>65000</v>
      </c>
      <c r="AG96" s="63"/>
      <c r="AH96" s="63"/>
      <c r="AI96" s="63"/>
      <c r="AJ96" s="75">
        <f t="shared" si="109"/>
        <v>65000</v>
      </c>
      <c r="AL96" s="63">
        <f>72100*1.01*1.01*1.01</f>
        <v>74284.70210000001</v>
      </c>
      <c r="AM96" s="63"/>
      <c r="AN96" s="63"/>
      <c r="AO96" s="63"/>
      <c r="AP96" s="75">
        <f t="shared" si="110"/>
        <v>74284.70210000001</v>
      </c>
      <c r="AR96" s="75">
        <f t="shared" si="111"/>
        <v>399950.85510000004</v>
      </c>
      <c r="AS96" s="75">
        <f t="shared" si="103"/>
        <v>0</v>
      </c>
      <c r="AT96" s="75">
        <f t="shared" si="103"/>
        <v>0</v>
      </c>
      <c r="AU96" s="75">
        <f t="shared" si="103"/>
        <v>0</v>
      </c>
      <c r="AV96" s="75">
        <f t="shared" si="112"/>
        <v>399950.85510000004</v>
      </c>
    </row>
    <row r="97" spans="1:48" x14ac:dyDescent="0.25">
      <c r="A97" s="21" t="s">
        <v>79</v>
      </c>
      <c r="B97" s="63">
        <v>0</v>
      </c>
      <c r="C97" s="63"/>
      <c r="D97" s="63"/>
      <c r="E97" s="63"/>
      <c r="F97" s="75">
        <f t="shared" si="104"/>
        <v>0</v>
      </c>
      <c r="H97" s="63"/>
      <c r="I97" s="63"/>
      <c r="J97" s="63"/>
      <c r="K97" s="63"/>
      <c r="L97" s="75">
        <f t="shared" si="105"/>
        <v>0</v>
      </c>
      <c r="N97" s="63"/>
      <c r="O97" s="63"/>
      <c r="P97" s="63"/>
      <c r="Q97" s="63"/>
      <c r="R97" s="75">
        <f t="shared" si="106"/>
        <v>0</v>
      </c>
      <c r="T97" s="63"/>
      <c r="U97" s="63"/>
      <c r="V97" s="63"/>
      <c r="W97" s="63"/>
      <c r="X97" s="75">
        <f t="shared" si="107"/>
        <v>0</v>
      </c>
      <c r="Y97" s="194"/>
      <c r="Z97" s="63"/>
      <c r="AA97" s="63"/>
      <c r="AB97" s="63"/>
      <c r="AC97" s="63"/>
      <c r="AD97" s="75">
        <f t="shared" si="108"/>
        <v>0</v>
      </c>
      <c r="AE97" s="194"/>
      <c r="AF97" s="63"/>
      <c r="AG97" s="63"/>
      <c r="AH97" s="63"/>
      <c r="AI97" s="63"/>
      <c r="AJ97" s="75">
        <f t="shared" si="109"/>
        <v>0</v>
      </c>
      <c r="AL97" s="63"/>
      <c r="AM97" s="63"/>
      <c r="AN97" s="63"/>
      <c r="AO97" s="63"/>
      <c r="AP97" s="75">
        <f t="shared" si="110"/>
        <v>0</v>
      </c>
      <c r="AR97" s="75">
        <f t="shared" si="111"/>
        <v>0</v>
      </c>
      <c r="AS97" s="75">
        <f t="shared" si="103"/>
        <v>0</v>
      </c>
      <c r="AT97" s="75">
        <f t="shared" si="103"/>
        <v>0</v>
      </c>
      <c r="AU97" s="75">
        <f t="shared" si="103"/>
        <v>0</v>
      </c>
      <c r="AV97" s="75">
        <f t="shared" si="112"/>
        <v>0</v>
      </c>
    </row>
    <row r="98" spans="1:48" x14ac:dyDescent="0.25">
      <c r="A98" s="21" t="s">
        <v>80</v>
      </c>
      <c r="B98" s="63">
        <f>(70000+62000+52000+40000)*1.01*1.01*1.01</f>
        <v>230787.424</v>
      </c>
      <c r="C98" s="63"/>
      <c r="D98" s="63"/>
      <c r="E98" s="63"/>
      <c r="F98" s="75">
        <f t="shared" si="104"/>
        <v>230787.424</v>
      </c>
      <c r="H98" s="63">
        <f>(81000+61800+51500+58500)*1.01*1.01*1.01</f>
        <v>260460.09280000001</v>
      </c>
      <c r="I98" s="63"/>
      <c r="J98" s="63"/>
      <c r="K98" s="63"/>
      <c r="L98" s="75">
        <f t="shared" si="105"/>
        <v>260460.09280000001</v>
      </c>
      <c r="N98" s="63">
        <f>((86000+44000+60000+55000)+60000)*1.01*1.01*1.01</f>
        <v>314241.80499999999</v>
      </c>
      <c r="O98" s="63"/>
      <c r="P98" s="63"/>
      <c r="Q98" s="63"/>
      <c r="R98" s="75">
        <f t="shared" si="106"/>
        <v>314241.80499999999</v>
      </c>
      <c r="T98" s="63">
        <f>52000*1.01*1.01*1.01</f>
        <v>53575.651999999995</v>
      </c>
      <c r="U98" s="63"/>
      <c r="V98" s="63"/>
      <c r="W98" s="63"/>
      <c r="X98" s="75">
        <f t="shared" si="107"/>
        <v>53575.651999999995</v>
      </c>
      <c r="Y98" s="194"/>
      <c r="Z98" s="63">
        <f>(55000+50000)*1.01*1.01</f>
        <v>107110.5</v>
      </c>
      <c r="AA98" s="63"/>
      <c r="AB98" s="63"/>
      <c r="AC98" s="63"/>
      <c r="AD98" s="75">
        <f t="shared" si="108"/>
        <v>107110.5</v>
      </c>
      <c r="AE98" s="194"/>
      <c r="AF98" s="63">
        <f>(55000+50000)*1.01</f>
        <v>106050</v>
      </c>
      <c r="AG98" s="63"/>
      <c r="AH98" s="63"/>
      <c r="AI98" s="63"/>
      <c r="AJ98" s="75">
        <f t="shared" si="109"/>
        <v>106050</v>
      </c>
      <c r="AL98" s="63">
        <f>87500*1.01*1.01*1.01</f>
        <v>90151.337499999994</v>
      </c>
      <c r="AM98" s="63"/>
      <c r="AN98" s="63"/>
      <c r="AO98" s="63"/>
      <c r="AP98" s="75">
        <f t="shared" si="110"/>
        <v>90151.337499999994</v>
      </c>
      <c r="AR98" s="75">
        <f t="shared" si="111"/>
        <v>1162376.8113000002</v>
      </c>
      <c r="AS98" s="75">
        <f t="shared" si="103"/>
        <v>0</v>
      </c>
      <c r="AT98" s="75">
        <f t="shared" si="103"/>
        <v>0</v>
      </c>
      <c r="AU98" s="75">
        <f t="shared" si="103"/>
        <v>0</v>
      </c>
      <c r="AV98" s="75">
        <f t="shared" si="112"/>
        <v>1162376.8113000002</v>
      </c>
    </row>
    <row r="99" spans="1:48" x14ac:dyDescent="0.25">
      <c r="A99" s="21" t="s">
        <v>81</v>
      </c>
      <c r="B99" s="63">
        <f>(24.75*8*190)*(B48+B49)+1300</f>
        <v>114160</v>
      </c>
      <c r="C99" s="63"/>
      <c r="D99" s="63"/>
      <c r="E99" s="63"/>
      <c r="F99" s="75">
        <f t="shared" si="104"/>
        <v>114160</v>
      </c>
      <c r="H99" s="63">
        <f>(24.75*8*190)*(H48+H49)</f>
        <v>112860</v>
      </c>
      <c r="I99" s="63"/>
      <c r="J99" s="63"/>
      <c r="K99" s="63"/>
      <c r="L99" s="75">
        <f t="shared" si="105"/>
        <v>112860</v>
      </c>
      <c r="N99" s="63">
        <f>(21.5*8*190)*(N48+N49)+(61800)*1.01*1.01*1.01</f>
        <v>292432.6018</v>
      </c>
      <c r="O99" s="63"/>
      <c r="P99" s="63"/>
      <c r="Q99" s="63"/>
      <c r="R99" s="75">
        <f t="shared" si="106"/>
        <v>292432.6018</v>
      </c>
      <c r="T99" s="63">
        <f>40000*1.01*1.01*1.01</f>
        <v>41212.04</v>
      </c>
      <c r="U99" s="63"/>
      <c r="V99" s="63"/>
      <c r="W99" s="63"/>
      <c r="X99" s="75">
        <f t="shared" si="107"/>
        <v>41212.04</v>
      </c>
      <c r="Y99" s="194"/>
      <c r="Z99" s="63">
        <f>(21.5*8*190)*(Z48+Z49)</f>
        <v>65360</v>
      </c>
      <c r="AA99" s="63"/>
      <c r="AB99" s="63"/>
      <c r="AC99" s="63"/>
      <c r="AD99" s="75">
        <f t="shared" si="108"/>
        <v>65360</v>
      </c>
      <c r="AE99" s="194"/>
      <c r="AF99" s="63">
        <f>(21.25*8*190)*(AF48+AF49)</f>
        <v>64600</v>
      </c>
      <c r="AG99" s="63"/>
      <c r="AH99" s="63"/>
      <c r="AI99" s="63"/>
      <c r="AJ99" s="75">
        <f t="shared" si="109"/>
        <v>64600</v>
      </c>
      <c r="AL99" s="63"/>
      <c r="AM99" s="63"/>
      <c r="AN99" s="63"/>
      <c r="AO99" s="63"/>
      <c r="AP99" s="75">
        <f t="shared" si="110"/>
        <v>0</v>
      </c>
      <c r="AR99" s="75">
        <f t="shared" si="111"/>
        <v>690624.64179999998</v>
      </c>
      <c r="AS99" s="75">
        <f t="shared" si="103"/>
        <v>0</v>
      </c>
      <c r="AT99" s="75">
        <f t="shared" si="103"/>
        <v>0</v>
      </c>
      <c r="AU99" s="75">
        <f t="shared" si="103"/>
        <v>0</v>
      </c>
      <c r="AV99" s="75">
        <f t="shared" si="112"/>
        <v>690624.64179999998</v>
      </c>
    </row>
    <row r="100" spans="1:48" x14ac:dyDescent="0.25">
      <c r="A100" s="21" t="s">
        <v>82</v>
      </c>
      <c r="B100" s="63"/>
      <c r="C100" s="63"/>
      <c r="D100" s="63"/>
      <c r="E100" s="63"/>
      <c r="F100" s="75">
        <f t="shared" si="104"/>
        <v>0</v>
      </c>
      <c r="H100" s="63"/>
      <c r="I100" s="63"/>
      <c r="J100" s="63"/>
      <c r="K100" s="63"/>
      <c r="L100" s="75">
        <f t="shared" si="105"/>
        <v>0</v>
      </c>
      <c r="N100" s="63">
        <f>50000*1.01*1.01*1.01</f>
        <v>51515.05</v>
      </c>
      <c r="O100" s="63"/>
      <c r="P100" s="63"/>
      <c r="Q100" s="63"/>
      <c r="R100" s="75">
        <f t="shared" si="106"/>
        <v>51515.05</v>
      </c>
      <c r="T100" s="63"/>
      <c r="U100" s="63"/>
      <c r="V100" s="63"/>
      <c r="W100" s="63"/>
      <c r="X100" s="75">
        <f t="shared" si="107"/>
        <v>0</v>
      </c>
      <c r="Y100" s="194"/>
      <c r="Z100" s="63"/>
      <c r="AA100" s="63"/>
      <c r="AB100" s="63"/>
      <c r="AC100" s="63"/>
      <c r="AD100" s="75">
        <f t="shared" si="108"/>
        <v>0</v>
      </c>
      <c r="AE100" s="194"/>
      <c r="AF100" s="63"/>
      <c r="AG100" s="63"/>
      <c r="AH100" s="63"/>
      <c r="AI100" s="63"/>
      <c r="AJ100" s="75">
        <f t="shared" si="109"/>
        <v>0</v>
      </c>
      <c r="AL100" s="63"/>
      <c r="AM100" s="63"/>
      <c r="AN100" s="63"/>
      <c r="AO100" s="63"/>
      <c r="AP100" s="75">
        <f t="shared" si="110"/>
        <v>0</v>
      </c>
      <c r="AR100" s="75">
        <f t="shared" si="111"/>
        <v>51515.05</v>
      </c>
      <c r="AS100" s="75">
        <f t="shared" si="103"/>
        <v>0</v>
      </c>
      <c r="AT100" s="75">
        <f t="shared" si="103"/>
        <v>0</v>
      </c>
      <c r="AU100" s="75">
        <f t="shared" si="103"/>
        <v>0</v>
      </c>
      <c r="AV100" s="75">
        <f t="shared" si="112"/>
        <v>51515.05</v>
      </c>
    </row>
    <row r="101" spans="1:48" x14ac:dyDescent="0.25">
      <c r="A101" s="21" t="s">
        <v>83</v>
      </c>
      <c r="B101" s="63">
        <f>(21.75*8*240)*B51</f>
        <v>167040</v>
      </c>
      <c r="C101" s="63"/>
      <c r="D101" s="63"/>
      <c r="E101" s="63"/>
      <c r="F101" s="75">
        <f t="shared" si="104"/>
        <v>167040</v>
      </c>
      <c r="H101" s="63">
        <f>(21.75*8*240)*H51</f>
        <v>125280</v>
      </c>
      <c r="I101" s="63"/>
      <c r="J101" s="63"/>
      <c r="K101" s="63"/>
      <c r="L101" s="75">
        <f t="shared" si="105"/>
        <v>125280</v>
      </c>
      <c r="N101" s="63">
        <f>(21.75*8*240)*(N51-2)+(47500+61800)*1.01*1.01*1.01</f>
        <v>530211.89930000005</v>
      </c>
      <c r="O101" s="63"/>
      <c r="P101" s="63"/>
      <c r="Q101" s="63"/>
      <c r="R101" s="75">
        <f t="shared" si="106"/>
        <v>530211.89930000005</v>
      </c>
      <c r="T101" s="63">
        <f>20.75*8*60+(20.75*5*180)</f>
        <v>28635</v>
      </c>
      <c r="U101" s="63"/>
      <c r="V101" s="63">
        <f>20.75*3*180</f>
        <v>11205</v>
      </c>
      <c r="W101" s="63"/>
      <c r="X101" s="75">
        <f t="shared" si="107"/>
        <v>39840</v>
      </c>
      <c r="Y101" s="194"/>
      <c r="Z101" s="63">
        <f>(21.75*8*240)*Z51</f>
        <v>125280</v>
      </c>
      <c r="AA101" s="63"/>
      <c r="AB101" s="63">
        <v>0</v>
      </c>
      <c r="AC101" s="63"/>
      <c r="AD101" s="75">
        <f t="shared" si="108"/>
        <v>125280</v>
      </c>
      <c r="AE101" s="194"/>
      <c r="AF101" s="63">
        <f>(23.25*8*240)*AF51</f>
        <v>89280</v>
      </c>
      <c r="AG101" s="63"/>
      <c r="AH101" s="63">
        <f>(20.25*8*185)*AH50</f>
        <v>59940</v>
      </c>
      <c r="AI101" s="63"/>
      <c r="AJ101" s="75">
        <f t="shared" si="109"/>
        <v>149220</v>
      </c>
      <c r="AL101" s="63"/>
      <c r="AM101" s="63"/>
      <c r="AN101" s="63"/>
      <c r="AO101" s="63"/>
      <c r="AP101" s="75">
        <f t="shared" si="110"/>
        <v>0</v>
      </c>
      <c r="AR101" s="75">
        <f t="shared" si="111"/>
        <v>1065726.8993000002</v>
      </c>
      <c r="AS101" s="75">
        <f t="shared" si="103"/>
        <v>0</v>
      </c>
      <c r="AT101" s="75">
        <f t="shared" si="103"/>
        <v>71145</v>
      </c>
      <c r="AU101" s="75">
        <f t="shared" si="103"/>
        <v>0</v>
      </c>
      <c r="AV101" s="75">
        <f t="shared" si="112"/>
        <v>1136871.8993000002</v>
      </c>
    </row>
    <row r="102" spans="1:48" x14ac:dyDescent="0.25">
      <c r="A102" s="21" t="s">
        <v>84</v>
      </c>
      <c r="B102" s="63"/>
      <c r="C102" s="63"/>
      <c r="D102" s="63">
        <f>(21.75*8*180*2)+(29.75*8*180)</f>
        <v>105480</v>
      </c>
      <c r="E102" s="63"/>
      <c r="F102" s="75">
        <f t="shared" si="104"/>
        <v>105480</v>
      </c>
      <c r="H102" s="63"/>
      <c r="I102" s="63"/>
      <c r="J102" s="63">
        <f>(21.75*8*180*2)+(29.25*8*180)</f>
        <v>104760</v>
      </c>
      <c r="K102" s="63"/>
      <c r="L102" s="75">
        <f t="shared" si="105"/>
        <v>104760</v>
      </c>
      <c r="N102" s="63"/>
      <c r="O102" s="63"/>
      <c r="P102" s="63">
        <f>(21.75*8*180*8)+(36.5*8*180)</f>
        <v>303120</v>
      </c>
      <c r="Q102" s="63"/>
      <c r="R102" s="75">
        <f t="shared" si="106"/>
        <v>303120</v>
      </c>
      <c r="T102" s="63"/>
      <c r="U102" s="63"/>
      <c r="V102" s="63"/>
      <c r="W102" s="63"/>
      <c r="X102" s="75">
        <f t="shared" si="107"/>
        <v>0</v>
      </c>
      <c r="Y102" s="194"/>
      <c r="Z102" s="63"/>
      <c r="AA102" s="63"/>
      <c r="AB102" s="63"/>
      <c r="AC102" s="63"/>
      <c r="AD102" s="75">
        <f t="shared" si="108"/>
        <v>0</v>
      </c>
      <c r="AE102" s="194"/>
      <c r="AF102" s="63"/>
      <c r="AG102" s="63"/>
      <c r="AH102" s="63"/>
      <c r="AI102" s="63"/>
      <c r="AJ102" s="75">
        <f t="shared" si="109"/>
        <v>0</v>
      </c>
      <c r="AL102" s="63"/>
      <c r="AM102" s="63"/>
      <c r="AN102" s="63">
        <f>64375*1.015*1.01*1.01</f>
        <v>66653.971562499995</v>
      </c>
      <c r="AO102" s="63"/>
      <c r="AP102" s="75">
        <f t="shared" si="110"/>
        <v>66653.971562499995</v>
      </c>
      <c r="AR102" s="75">
        <f t="shared" si="111"/>
        <v>0</v>
      </c>
      <c r="AS102" s="75">
        <f t="shared" si="103"/>
        <v>0</v>
      </c>
      <c r="AT102" s="75">
        <f t="shared" si="103"/>
        <v>580013.9715625</v>
      </c>
      <c r="AU102" s="75">
        <f t="shared" si="103"/>
        <v>0</v>
      </c>
      <c r="AV102" s="75">
        <f t="shared" si="112"/>
        <v>580013.9715625</v>
      </c>
    </row>
    <row r="103" spans="1:48" x14ac:dyDescent="0.25">
      <c r="A103" s="21" t="s">
        <v>85</v>
      </c>
      <c r="B103" s="63"/>
      <c r="C103" s="63"/>
      <c r="D103" s="63"/>
      <c r="E103" s="63"/>
      <c r="F103" s="75">
        <f t="shared" si="104"/>
        <v>0</v>
      </c>
      <c r="H103" s="63"/>
      <c r="I103" s="63"/>
      <c r="J103" s="63"/>
      <c r="K103" s="63"/>
      <c r="L103" s="75">
        <f t="shared" si="105"/>
        <v>0</v>
      </c>
      <c r="N103" s="63"/>
      <c r="O103" s="63"/>
      <c r="P103" s="63"/>
      <c r="Q103" s="63"/>
      <c r="R103" s="75">
        <f t="shared" si="106"/>
        <v>0</v>
      </c>
      <c r="T103" s="63"/>
      <c r="U103" s="63"/>
      <c r="V103" s="63"/>
      <c r="W103" s="63"/>
      <c r="X103" s="75">
        <f t="shared" si="107"/>
        <v>0</v>
      </c>
      <c r="Y103" s="194"/>
      <c r="Z103" s="63"/>
      <c r="AA103" s="63"/>
      <c r="AB103" s="63">
        <f>(21.5*8*190)*(AB52)</f>
        <v>65360</v>
      </c>
      <c r="AC103" s="63"/>
      <c r="AD103" s="75">
        <f t="shared" si="108"/>
        <v>65360</v>
      </c>
      <c r="AE103" s="194"/>
      <c r="AF103" s="63"/>
      <c r="AG103" s="63"/>
      <c r="AH103" s="63"/>
      <c r="AI103" s="63"/>
      <c r="AJ103" s="75">
        <f t="shared" si="109"/>
        <v>0</v>
      </c>
      <c r="AL103" s="63"/>
      <c r="AM103" s="63"/>
      <c r="AN103" s="63"/>
      <c r="AO103" s="63"/>
      <c r="AP103" s="75">
        <f t="shared" si="110"/>
        <v>0</v>
      </c>
      <c r="AR103" s="75">
        <f t="shared" si="111"/>
        <v>0</v>
      </c>
      <c r="AS103" s="75">
        <f t="shared" si="103"/>
        <v>0</v>
      </c>
      <c r="AT103" s="75">
        <f t="shared" si="103"/>
        <v>65360</v>
      </c>
      <c r="AU103" s="75">
        <f t="shared" si="103"/>
        <v>0</v>
      </c>
      <c r="AV103" s="75">
        <f t="shared" si="112"/>
        <v>65360</v>
      </c>
    </row>
    <row r="104" spans="1:48" x14ac:dyDescent="0.25">
      <c r="A104" s="21" t="s">
        <v>49</v>
      </c>
      <c r="B104" s="63"/>
      <c r="C104" s="63">
        <f>92700*1.01*1.01*1.01</f>
        <v>95508.902700000006</v>
      </c>
      <c r="D104" s="63"/>
      <c r="E104" s="63"/>
      <c r="F104" s="75">
        <f t="shared" si="104"/>
        <v>95508.902700000006</v>
      </c>
      <c r="H104" s="63"/>
      <c r="I104" s="63">
        <f>92700*1.01*1.01*1.01</f>
        <v>95508.902700000006</v>
      </c>
      <c r="J104" s="63"/>
      <c r="K104" s="63"/>
      <c r="L104" s="75">
        <f t="shared" si="105"/>
        <v>95508.902700000006</v>
      </c>
      <c r="N104" s="63"/>
      <c r="O104" s="63">
        <f>83100*1.01*1.01*1.01</f>
        <v>85618.013099999996</v>
      </c>
      <c r="P104" s="63"/>
      <c r="Q104" s="63"/>
      <c r="R104" s="75">
        <f t="shared" si="106"/>
        <v>85618.013099999996</v>
      </c>
      <c r="T104" s="63"/>
      <c r="U104" s="63"/>
      <c r="V104" s="63"/>
      <c r="W104" s="63"/>
      <c r="X104" s="75">
        <f t="shared" si="107"/>
        <v>0</v>
      </c>
      <c r="Y104" s="194"/>
      <c r="Z104" s="63"/>
      <c r="AA104" s="63"/>
      <c r="AB104" s="63"/>
      <c r="AC104" s="63"/>
      <c r="AD104" s="75">
        <f t="shared" si="108"/>
        <v>0</v>
      </c>
      <c r="AE104" s="194"/>
      <c r="AF104" s="63"/>
      <c r="AG104" s="63"/>
      <c r="AH104" s="63"/>
      <c r="AI104" s="63"/>
      <c r="AJ104" s="75">
        <f t="shared" si="109"/>
        <v>0</v>
      </c>
      <c r="AL104" s="63"/>
      <c r="AM104" s="63"/>
      <c r="AN104" s="63"/>
      <c r="AO104" s="63"/>
      <c r="AP104" s="75">
        <f t="shared" si="110"/>
        <v>0</v>
      </c>
      <c r="AR104" s="75">
        <f t="shared" si="111"/>
        <v>0</v>
      </c>
      <c r="AS104" s="75">
        <f t="shared" si="103"/>
        <v>276635.81849999999</v>
      </c>
      <c r="AT104" s="75">
        <f t="shared" si="103"/>
        <v>0</v>
      </c>
      <c r="AU104" s="75">
        <f t="shared" si="103"/>
        <v>0</v>
      </c>
      <c r="AV104" s="75">
        <f t="shared" si="112"/>
        <v>276635.81849999999</v>
      </c>
    </row>
    <row r="105" spans="1:48" x14ac:dyDescent="0.25">
      <c r="A105" s="21" t="s">
        <v>86</v>
      </c>
      <c r="B105" s="63"/>
      <c r="C105" s="63">
        <f>65000*1.01*1.01*1.01</f>
        <v>66969.565000000002</v>
      </c>
      <c r="D105" s="63"/>
      <c r="E105" s="63"/>
      <c r="F105" s="75">
        <f t="shared" si="104"/>
        <v>66969.565000000002</v>
      </c>
      <c r="H105" s="63"/>
      <c r="I105" s="63">
        <f>65000*1.01*1.01*1.01</f>
        <v>66969.565000000002</v>
      </c>
      <c r="J105" s="63"/>
      <c r="K105" s="63"/>
      <c r="L105" s="75">
        <f t="shared" si="105"/>
        <v>66969.565000000002</v>
      </c>
      <c r="N105" s="63"/>
      <c r="O105" s="63">
        <f>65000*1.01*1.01*1.01</f>
        <v>66969.565000000002</v>
      </c>
      <c r="P105" s="63"/>
      <c r="Q105" s="63"/>
      <c r="R105" s="75">
        <f t="shared" si="106"/>
        <v>66969.565000000002</v>
      </c>
      <c r="T105" s="63"/>
      <c r="U105" s="63"/>
      <c r="V105" s="63"/>
      <c r="W105" s="63"/>
      <c r="X105" s="75">
        <f t="shared" si="107"/>
        <v>0</v>
      </c>
      <c r="Y105" s="194"/>
      <c r="Z105" s="63"/>
      <c r="AA105" s="63"/>
      <c r="AB105" s="63"/>
      <c r="AC105" s="63"/>
      <c r="AD105" s="75">
        <f t="shared" si="108"/>
        <v>0</v>
      </c>
      <c r="AE105" s="194"/>
      <c r="AF105" s="63"/>
      <c r="AG105" s="63"/>
      <c r="AH105" s="63"/>
      <c r="AI105" s="63"/>
      <c r="AJ105" s="75">
        <f t="shared" si="109"/>
        <v>0</v>
      </c>
      <c r="AL105" s="63"/>
      <c r="AM105" s="63"/>
      <c r="AN105" s="63"/>
      <c r="AO105" s="63"/>
      <c r="AP105" s="75">
        <f t="shared" si="110"/>
        <v>0</v>
      </c>
      <c r="AR105" s="75">
        <f t="shared" si="111"/>
        <v>0</v>
      </c>
      <c r="AS105" s="75">
        <f t="shared" si="103"/>
        <v>200908.69500000001</v>
      </c>
      <c r="AT105" s="75">
        <f t="shared" si="103"/>
        <v>0</v>
      </c>
      <c r="AU105" s="75">
        <f t="shared" si="103"/>
        <v>0</v>
      </c>
      <c r="AV105" s="75">
        <f t="shared" si="112"/>
        <v>200908.69500000001</v>
      </c>
    </row>
    <row r="106" spans="1:48" x14ac:dyDescent="0.25">
      <c r="A106" s="21" t="s">
        <v>87</v>
      </c>
      <c r="B106" s="63"/>
      <c r="C106" s="63">
        <f>46000*1.01*1.01*1.01</f>
        <v>47393.845999999998</v>
      </c>
      <c r="D106" s="63"/>
      <c r="E106" s="63"/>
      <c r="F106" s="75">
        <f t="shared" si="104"/>
        <v>47393.845999999998</v>
      </c>
      <c r="H106" s="63"/>
      <c r="I106" s="63">
        <f>46000*1.01*1.01*1.01</f>
        <v>47393.845999999998</v>
      </c>
      <c r="J106" s="63"/>
      <c r="K106" s="63"/>
      <c r="L106" s="75">
        <f t="shared" si="105"/>
        <v>47393.845999999998</v>
      </c>
      <c r="N106" s="63"/>
      <c r="O106" s="63">
        <f>98000*1.01*1.01*1.01</f>
        <v>100969.49800000001</v>
      </c>
      <c r="P106" s="63"/>
      <c r="Q106" s="63"/>
      <c r="R106" s="75">
        <f t="shared" si="106"/>
        <v>100969.49800000001</v>
      </c>
      <c r="T106" s="63"/>
      <c r="U106" s="63"/>
      <c r="V106" s="63"/>
      <c r="W106" s="63"/>
      <c r="X106" s="75">
        <f t="shared" si="107"/>
        <v>0</v>
      </c>
      <c r="Y106" s="194"/>
      <c r="Z106" s="63"/>
      <c r="AA106" s="63"/>
      <c r="AB106" s="63"/>
      <c r="AC106" s="63"/>
      <c r="AD106" s="75">
        <f t="shared" si="108"/>
        <v>0</v>
      </c>
      <c r="AE106" s="194"/>
      <c r="AF106" s="63"/>
      <c r="AG106" s="63"/>
      <c r="AH106" s="63"/>
      <c r="AI106" s="63"/>
      <c r="AJ106" s="75">
        <f t="shared" si="109"/>
        <v>0</v>
      </c>
      <c r="AL106" s="63"/>
      <c r="AM106" s="63">
        <f>(80000+90000)*1.01*1.01*1.01</f>
        <v>175151.17</v>
      </c>
      <c r="AN106" s="63"/>
      <c r="AO106" s="63"/>
      <c r="AP106" s="75">
        <f t="shared" si="110"/>
        <v>175151.17</v>
      </c>
      <c r="AR106" s="75">
        <f t="shared" si="111"/>
        <v>0</v>
      </c>
      <c r="AS106" s="75">
        <f t="shared" si="103"/>
        <v>370908.36</v>
      </c>
      <c r="AT106" s="75">
        <f t="shared" si="103"/>
        <v>0</v>
      </c>
      <c r="AU106" s="75">
        <f t="shared" si="103"/>
        <v>0</v>
      </c>
      <c r="AV106" s="75">
        <f t="shared" si="112"/>
        <v>370908.36</v>
      </c>
    </row>
    <row r="107" spans="1:48" x14ac:dyDescent="0.25">
      <c r="A107" s="21" t="s">
        <v>53</v>
      </c>
      <c r="B107" s="63"/>
      <c r="C107" s="63"/>
      <c r="D107" s="63"/>
      <c r="E107" s="63"/>
      <c r="F107" s="75">
        <f t="shared" si="104"/>
        <v>0</v>
      </c>
      <c r="H107" s="63"/>
      <c r="I107" s="63"/>
      <c r="J107" s="63"/>
      <c r="K107" s="63"/>
      <c r="L107" s="75">
        <f t="shared" si="105"/>
        <v>0</v>
      </c>
      <c r="N107" s="63">
        <f>90700*1.01*1.01*1.01</f>
        <v>93448.300700000007</v>
      </c>
      <c r="O107" s="63"/>
      <c r="P107" s="63"/>
      <c r="Q107" s="63"/>
      <c r="R107" s="75">
        <f t="shared" si="106"/>
        <v>93448.300700000007</v>
      </c>
      <c r="T107" s="63"/>
      <c r="U107" s="63"/>
      <c r="V107" s="63"/>
      <c r="W107" s="63"/>
      <c r="X107" s="75">
        <f t="shared" si="107"/>
        <v>0</v>
      </c>
      <c r="Y107" s="194"/>
      <c r="Z107" s="63"/>
      <c r="AA107" s="63"/>
      <c r="AB107" s="63"/>
      <c r="AC107" s="63"/>
      <c r="AD107" s="75">
        <f t="shared" si="108"/>
        <v>0</v>
      </c>
      <c r="AE107" s="194"/>
      <c r="AF107" s="63"/>
      <c r="AG107" s="63"/>
      <c r="AH107" s="63"/>
      <c r="AI107" s="63"/>
      <c r="AJ107" s="75">
        <f t="shared" si="109"/>
        <v>0</v>
      </c>
      <c r="AL107" s="63"/>
      <c r="AM107" s="63"/>
      <c r="AN107" s="63"/>
      <c r="AO107" s="63"/>
      <c r="AP107" s="75">
        <f t="shared" si="110"/>
        <v>0</v>
      </c>
      <c r="AR107" s="75">
        <f t="shared" si="111"/>
        <v>93448.300700000007</v>
      </c>
      <c r="AS107" s="75">
        <f t="shared" si="103"/>
        <v>0</v>
      </c>
      <c r="AT107" s="75">
        <f t="shared" si="103"/>
        <v>0</v>
      </c>
      <c r="AU107" s="75">
        <f t="shared" si="103"/>
        <v>0</v>
      </c>
      <c r="AV107" s="75">
        <f t="shared" si="112"/>
        <v>93448.300700000007</v>
      </c>
    </row>
    <row r="108" spans="1:48" x14ac:dyDescent="0.25">
      <c r="A108" s="22" t="s">
        <v>88</v>
      </c>
      <c r="B108" s="64">
        <f>(47000*1.01*1.01*1.01)+(24.75*7.5*230)</f>
        <v>91117.896999999997</v>
      </c>
      <c r="C108" s="64"/>
      <c r="D108" s="64"/>
      <c r="E108" s="64"/>
      <c r="F108" s="75">
        <f t="shared" si="104"/>
        <v>91117.896999999997</v>
      </c>
      <c r="H108" s="64">
        <f>65000*1.01*1.01*1.01</f>
        <v>66969.565000000002</v>
      </c>
      <c r="I108" s="64"/>
      <c r="J108" s="64"/>
      <c r="K108" s="64"/>
      <c r="L108" s="75">
        <f t="shared" si="105"/>
        <v>66969.565000000002</v>
      </c>
      <c r="N108" s="64">
        <f>61800*1.01*1.01*1.01</f>
        <v>63672.601800000004</v>
      </c>
      <c r="O108" s="64"/>
      <c r="P108" s="64"/>
      <c r="Q108" s="64"/>
      <c r="R108" s="75">
        <f t="shared" si="106"/>
        <v>63672.601800000004</v>
      </c>
      <c r="T108" s="64"/>
      <c r="U108" s="64"/>
      <c r="V108" s="64"/>
      <c r="W108" s="64"/>
      <c r="X108" s="75">
        <f t="shared" si="107"/>
        <v>0</v>
      </c>
      <c r="Y108" s="194"/>
      <c r="Z108" s="64"/>
      <c r="AA108" s="64"/>
      <c r="AB108" s="64"/>
      <c r="AC108" s="64"/>
      <c r="AD108" s="75">
        <f t="shared" si="108"/>
        <v>0</v>
      </c>
      <c r="AE108" s="194"/>
      <c r="AF108" s="64"/>
      <c r="AG108" s="64"/>
      <c r="AH108" s="64"/>
      <c r="AI108" s="64"/>
      <c r="AJ108" s="75">
        <f t="shared" si="109"/>
        <v>0</v>
      </c>
      <c r="AL108" s="64"/>
      <c r="AM108" s="64"/>
      <c r="AN108" s="64"/>
      <c r="AO108" s="64"/>
      <c r="AP108" s="75">
        <f t="shared" si="110"/>
        <v>0</v>
      </c>
      <c r="AR108" s="75">
        <f t="shared" si="111"/>
        <v>221760.0638</v>
      </c>
      <c r="AS108" s="75">
        <f t="shared" si="103"/>
        <v>0</v>
      </c>
      <c r="AT108" s="75">
        <f t="shared" si="103"/>
        <v>0</v>
      </c>
      <c r="AU108" s="75">
        <f t="shared" si="103"/>
        <v>0</v>
      </c>
      <c r="AV108" s="75">
        <f t="shared" si="112"/>
        <v>221760.0638</v>
      </c>
    </row>
    <row r="109" spans="1:48" x14ac:dyDescent="0.25">
      <c r="A109" s="27"/>
      <c r="B109" s="76">
        <f t="shared" ref="B109:E109" si="113">SUM(B93:B108)</f>
        <v>1267058.5883765002</v>
      </c>
      <c r="C109" s="76">
        <f t="shared" si="113"/>
        <v>209872.3137</v>
      </c>
      <c r="D109" s="76">
        <f t="shared" si="113"/>
        <v>105480</v>
      </c>
      <c r="E109" s="76">
        <f t="shared" si="113"/>
        <v>0</v>
      </c>
      <c r="F109" s="76">
        <f t="shared" ref="F109" si="114">SUM(F93:F108)</f>
        <v>1582410.9020765</v>
      </c>
      <c r="H109" s="76">
        <f t="shared" ref="H109:L109" si="115">SUM(H93:H108)</f>
        <v>1410560.71994</v>
      </c>
      <c r="I109" s="76">
        <f t="shared" si="115"/>
        <v>209872.3137</v>
      </c>
      <c r="J109" s="76">
        <f t="shared" si="115"/>
        <v>104760</v>
      </c>
      <c r="K109" s="76">
        <f t="shared" si="115"/>
        <v>0</v>
      </c>
      <c r="L109" s="76">
        <f t="shared" si="115"/>
        <v>1725193.0336399998</v>
      </c>
      <c r="N109" s="76">
        <f t="shared" ref="N109:R109" si="116">SUM(N93:N108)</f>
        <v>2531130.83134</v>
      </c>
      <c r="O109" s="76">
        <f t="shared" si="116"/>
        <v>253557.07610000001</v>
      </c>
      <c r="P109" s="76">
        <f t="shared" si="116"/>
        <v>303120</v>
      </c>
      <c r="Q109" s="76">
        <f t="shared" si="116"/>
        <v>0</v>
      </c>
      <c r="R109" s="76">
        <f t="shared" si="116"/>
        <v>3087807.9074400002</v>
      </c>
      <c r="T109" s="76">
        <f t="shared" ref="T109:X109" si="117">SUM(T93:T108)</f>
        <v>252210.31700000001</v>
      </c>
      <c r="U109" s="76">
        <f t="shared" si="117"/>
        <v>0</v>
      </c>
      <c r="V109" s="76">
        <f t="shared" si="117"/>
        <v>11205</v>
      </c>
      <c r="W109" s="76">
        <f t="shared" si="117"/>
        <v>0</v>
      </c>
      <c r="X109" s="76">
        <f t="shared" si="117"/>
        <v>263415.31700000004</v>
      </c>
      <c r="Y109" s="199"/>
      <c r="Z109" s="76">
        <f t="shared" ref="Z109:AD109" si="118">SUM(Z93:Z108)</f>
        <v>712364</v>
      </c>
      <c r="AA109" s="76">
        <f t="shared" si="118"/>
        <v>0</v>
      </c>
      <c r="AB109" s="76">
        <f t="shared" si="118"/>
        <v>65360</v>
      </c>
      <c r="AC109" s="76">
        <f t="shared" si="118"/>
        <v>0</v>
      </c>
      <c r="AD109" s="76">
        <f t="shared" si="118"/>
        <v>777724</v>
      </c>
      <c r="AE109" s="199"/>
      <c r="AF109" s="76">
        <f t="shared" ref="AF109:AJ109" si="119">SUM(AF93:AF108)</f>
        <v>733130</v>
      </c>
      <c r="AG109" s="76">
        <f t="shared" si="119"/>
        <v>0</v>
      </c>
      <c r="AH109" s="76">
        <f t="shared" si="119"/>
        <v>59940</v>
      </c>
      <c r="AI109" s="76">
        <f t="shared" si="119"/>
        <v>0</v>
      </c>
      <c r="AJ109" s="76">
        <f t="shared" si="119"/>
        <v>793070</v>
      </c>
      <c r="AL109" s="76">
        <f t="shared" ref="AL109:AP109" si="120">SUM(AL93:AL108)</f>
        <v>164436.03960000002</v>
      </c>
      <c r="AM109" s="76">
        <f t="shared" si="120"/>
        <v>297190.32345000003</v>
      </c>
      <c r="AN109" s="76">
        <f t="shared" si="120"/>
        <v>66653.971562499995</v>
      </c>
      <c r="AO109" s="76">
        <f t="shared" si="120"/>
        <v>200000</v>
      </c>
      <c r="AP109" s="76">
        <f t="shared" si="120"/>
        <v>728280.33461250004</v>
      </c>
      <c r="AR109" s="76">
        <f t="shared" ref="AR109:AV109" si="121">SUM(AR93:AR108)</f>
        <v>7070890.4962565005</v>
      </c>
      <c r="AS109" s="76">
        <f t="shared" si="121"/>
        <v>970492.02694999997</v>
      </c>
      <c r="AT109" s="76">
        <f t="shared" si="121"/>
        <v>716518.9715625</v>
      </c>
      <c r="AU109" s="76">
        <f t="shared" si="121"/>
        <v>200000</v>
      </c>
      <c r="AV109" s="76">
        <f t="shared" si="121"/>
        <v>8957901.4947689995</v>
      </c>
    </row>
    <row r="110" spans="1:48" x14ac:dyDescent="0.25">
      <c r="A110" s="20" t="s">
        <v>262</v>
      </c>
      <c r="B110" s="75">
        <f>B109*0.3825</f>
        <v>484649.91005401133</v>
      </c>
      <c r="C110" s="75">
        <f t="shared" ref="C110:E110" si="122">C109*0.3825</f>
        <v>80276.159990250002</v>
      </c>
      <c r="D110" s="75">
        <f t="shared" si="122"/>
        <v>40346.1</v>
      </c>
      <c r="E110" s="75">
        <f t="shared" si="122"/>
        <v>0</v>
      </c>
      <c r="F110" s="75">
        <f>SUM(B110:E110)</f>
        <v>605272.17004426126</v>
      </c>
      <c r="H110" s="75">
        <f>H109*0.3825</f>
        <v>539539.47537705</v>
      </c>
      <c r="I110" s="75">
        <f t="shared" ref="I110" si="123">I109*0.3825</f>
        <v>80276.159990250002</v>
      </c>
      <c r="J110" s="75">
        <f t="shared" ref="J110" si="124">J109*0.3825</f>
        <v>40070.699999999997</v>
      </c>
      <c r="K110" s="75">
        <f t="shared" ref="K110" si="125">K109*0.3725</f>
        <v>0</v>
      </c>
      <c r="L110" s="75">
        <f>SUM(H110:K110)</f>
        <v>659886.33536729997</v>
      </c>
      <c r="N110" s="75">
        <f>(N109-N93)*0.3825+(N93*0.15)</f>
        <v>914080.26318817516</v>
      </c>
      <c r="O110" s="75">
        <f t="shared" ref="O110" si="126">O109*0.3825</f>
        <v>96985.58160825001</v>
      </c>
      <c r="P110" s="75">
        <f t="shared" ref="P110" si="127">P109*0.3825</f>
        <v>115943.40000000001</v>
      </c>
      <c r="Q110" s="75">
        <f t="shared" ref="Q110" si="128">Q109*0.3725</f>
        <v>0</v>
      </c>
      <c r="R110" s="75">
        <f>SUM(N110:Q110)</f>
        <v>1127009.2447964251</v>
      </c>
      <c r="T110" s="75">
        <f>T109*0.3825</f>
        <v>96470.446252500013</v>
      </c>
      <c r="U110" s="75">
        <f t="shared" ref="U110:W110" si="129">U109*0.3825</f>
        <v>0</v>
      </c>
      <c r="V110" s="75">
        <f t="shared" si="129"/>
        <v>4285.9125000000004</v>
      </c>
      <c r="W110" s="75">
        <f t="shared" si="129"/>
        <v>0</v>
      </c>
      <c r="X110" s="75">
        <f>SUM(T110:W110)</f>
        <v>100756.35875250002</v>
      </c>
      <c r="Y110" s="194"/>
      <c r="Z110" s="75">
        <f>Z109*0.3825</f>
        <v>272479.23</v>
      </c>
      <c r="AA110" s="75">
        <f t="shared" ref="AA110:AC110" si="130">AA109*0.3825</f>
        <v>0</v>
      </c>
      <c r="AB110" s="75">
        <f t="shared" si="130"/>
        <v>25000.2</v>
      </c>
      <c r="AC110" s="75">
        <f t="shared" si="130"/>
        <v>0</v>
      </c>
      <c r="AD110" s="75">
        <f>SUM(Z110:AC110)</f>
        <v>297479.43</v>
      </c>
      <c r="AE110" s="194"/>
      <c r="AF110" s="75">
        <f>AF109*0.3825</f>
        <v>280422.22499999998</v>
      </c>
      <c r="AG110" s="75">
        <f t="shared" ref="AG110:AI110" si="131">AG109*0.3825</f>
        <v>0</v>
      </c>
      <c r="AH110" s="75">
        <f t="shared" si="131"/>
        <v>22927.05</v>
      </c>
      <c r="AI110" s="75">
        <f t="shared" si="131"/>
        <v>0</v>
      </c>
      <c r="AJ110" s="75">
        <f>SUM(AF110:AI110)</f>
        <v>303349.27499999997</v>
      </c>
      <c r="AL110" s="60">
        <f>AL109*0.3825</f>
        <v>62896.78514700001</v>
      </c>
      <c r="AM110" s="60">
        <f t="shared" ref="AM110:AN110" si="132">AM109*0.3825</f>
        <v>113675.29871962502</v>
      </c>
      <c r="AN110" s="60">
        <f t="shared" si="132"/>
        <v>25495.144122656249</v>
      </c>
      <c r="AO110" s="60">
        <f t="shared" ref="AO110" si="133">AO109*0.3675</f>
        <v>73500</v>
      </c>
      <c r="AP110" s="75">
        <f>SUM(AL110:AO110)</f>
        <v>275567.22798928129</v>
      </c>
      <c r="AR110" s="60">
        <f>B110+H110+N110+T110+AL110+AF110+Z110</f>
        <v>2650538.3350187363</v>
      </c>
      <c r="AS110" s="60">
        <f t="shared" ref="AS110:AU115" si="134">C110+I110+O110+U110+AM110+AG110+AA110</f>
        <v>371213.20030837506</v>
      </c>
      <c r="AT110" s="60">
        <f t="shared" si="134"/>
        <v>274068.50662265625</v>
      </c>
      <c r="AU110" s="60">
        <f t="shared" si="134"/>
        <v>73500</v>
      </c>
      <c r="AV110" s="75">
        <f>SUM(AR110:AU110)</f>
        <v>3369320.0419497676</v>
      </c>
    </row>
    <row r="111" spans="1:48" x14ac:dyDescent="0.25">
      <c r="A111" s="21" t="s">
        <v>90</v>
      </c>
      <c r="B111" s="61">
        <f>(((10870*(B64*0.9))+((235*(B64*0.85))+((100*(B64*0.85))+(B65*25)+(B109*0.015)+(B109*0.03)))))</f>
        <v>275461.76147694251</v>
      </c>
      <c r="C111" s="61">
        <f>(((10870*(C64*0.9))+((235*(C64*0.875))+((100*(C64*0.85))+(C65*25)+(C109*0.015)+(C109*0.03)))))</f>
        <v>34940.8166165</v>
      </c>
      <c r="D111" s="61">
        <f>(((10870*(D64*0.85))+((225*(D64*0.85))+((100*(D64*0.85))+(D65*25)+(D109*0.015)+(D109*0.03)))))</f>
        <v>33368.85</v>
      </c>
      <c r="E111" s="61">
        <f t="shared" ref="E111" si="135">(((8150*(E64*0.85))+((185*(E64*0.85))+((75*(E64*0.85))+(E65*7)+(E109*0.015)+(E109*0.03)))))</f>
        <v>0</v>
      </c>
      <c r="F111" s="75">
        <f t="shared" ref="F111:F115" si="136">SUM(B111:E111)</f>
        <v>343771.42809344246</v>
      </c>
      <c r="H111" s="61">
        <f>(((10870*(H64*0.9))+((235*(H64*0.85))+((100*(H64*0.85))+(H65*25)+(H109*0.015)+(H109*0.03)))))</f>
        <v>256674.98239730002</v>
      </c>
      <c r="I111" s="61">
        <f>(((10870*(I64*0.9))+((235*(I64*0.875))+((100*(I64*0.85))+(I65*25)+(I109*0.015)+(I109*0.03)))))</f>
        <v>34928.3166165</v>
      </c>
      <c r="J111" s="61">
        <f>(((10870*(J64*0.85))+((225*(J64*0.85))+((100*(J64*0.85))+(J65*25)+(J109*0.015)+(J109*0.03)))))</f>
        <v>33336.449999999997</v>
      </c>
      <c r="K111" s="61">
        <f t="shared" ref="K111" si="137">(((8150*(K64*0.85))+((185*(K64*0.85))+((75*(K64*0.85))+(K65*7)+(K109*0.015)+(K109*0.03)))))</f>
        <v>0</v>
      </c>
      <c r="L111" s="75">
        <f t="shared" ref="L111:L115" si="138">SUM(H111:K111)</f>
        <v>324939.7490138</v>
      </c>
      <c r="N111" s="61">
        <f>(((10870*(N64*0.9))+((235*(N64*0.85))+((100*(N64*0.85))+(N65*25)+(N109*0.015)+(N109*0.03)))))</f>
        <v>520560.88741029997</v>
      </c>
      <c r="O111" s="61">
        <f>(((10870*(O64*0.9))+((235*(O64*0.875))+((100*(O64*0.85))+(O65*25)+(O109*0.015)+(O109*0.03)))))</f>
        <v>42405.943424500001</v>
      </c>
      <c r="P111" s="61">
        <f>(((10870*(P64*0.85))+((225*(P64*0.85))+((100*(P64*0.85))+(P65*25)+(P109*0.015)+(P109*0.03)))))</f>
        <v>99507.15</v>
      </c>
      <c r="Q111" s="61">
        <f t="shared" ref="Q111" si="139">(((8150*(Q64*0.85))+((185*(Q64*0.85))+((75*(Q64*0.85))+(Q65*7)+(Q109*0.015)+(Q109*0.03)))))</f>
        <v>0</v>
      </c>
      <c r="R111" s="75">
        <f t="shared" ref="R111:R115" si="140">SUM(N111:Q111)</f>
        <v>662473.98083479994</v>
      </c>
      <c r="T111" s="61">
        <f>(((10870*(T64*0.85))+((225*(T64*0.85))+((100*(T64*0.85))+(T65*25)+(T109*0.015)+(T109*0.03)))))</f>
        <v>50199.964265000002</v>
      </c>
      <c r="U111" s="61">
        <v>0</v>
      </c>
      <c r="V111" s="61">
        <f t="shared" ref="V111:W111" si="141">(((10870*(V64*0.85))+((225*(V64*0.85))+((100*(V64*0.85))+(V65*25)+(V109*0.015)+(V109*0.03)))))</f>
        <v>504.22499999999997</v>
      </c>
      <c r="W111" s="61">
        <f t="shared" si="141"/>
        <v>0</v>
      </c>
      <c r="X111" s="75">
        <f t="shared" ref="X111:X115" si="142">SUM(T111:W111)</f>
        <v>50704.189265000001</v>
      </c>
      <c r="Y111" s="194"/>
      <c r="Z111" s="61">
        <f>(((10870*(Z64*0.85))+((225*(Z64*0.85))+((100*(Z64*0.85))+(Z65*25)+(Z109*0.015)+(Z109*0.03)))))</f>
        <v>138029.63</v>
      </c>
      <c r="AA111" s="61">
        <v>0</v>
      </c>
      <c r="AB111" s="61">
        <f t="shared" ref="AB111:AC111" si="143">(((10870*(AB64*0.85))+((225*(AB64*0.85))+((100*(AB64*0.85))+(AB65*25)+(AB109*0.015)+(AB109*0.03)))))</f>
        <v>22022.7</v>
      </c>
      <c r="AC111" s="61">
        <f t="shared" si="143"/>
        <v>0</v>
      </c>
      <c r="AD111" s="75">
        <f t="shared" ref="AD111:AD115" si="144">SUM(Z111:AC111)</f>
        <v>160052.33000000002</v>
      </c>
      <c r="AE111" s="194"/>
      <c r="AF111" s="61">
        <f>(((10870*(AF64*0.85))+((225*(AF64*0.85))+((100*(AF64*0.85))+(AF65*25)+(AF109*0.015)+(AF109*0.03)))))</f>
        <v>139039.1</v>
      </c>
      <c r="AG111" s="61">
        <v>0</v>
      </c>
      <c r="AH111" s="61">
        <f t="shared" ref="AH111:AI111" si="145">(((10870*(AH64*0.85))+((225*(AH64*0.85))+((100*(AH64*0.85))+(AH65*25)+(AH109*0.015)+(AH109*0.03)))))</f>
        <v>2747.3</v>
      </c>
      <c r="AI111" s="61">
        <f t="shared" si="145"/>
        <v>0</v>
      </c>
      <c r="AJ111" s="75">
        <f t="shared" ref="AJ111:AJ115" si="146">SUM(AF111:AI111)</f>
        <v>141786.4</v>
      </c>
      <c r="AL111" s="61">
        <f>AL109*0.19</f>
        <v>31242.847524000004</v>
      </c>
      <c r="AM111" s="61">
        <f t="shared" ref="AM111:AN111" si="147">AM109*0.19</f>
        <v>56466.161455500005</v>
      </c>
      <c r="AN111" s="61">
        <f t="shared" si="147"/>
        <v>12664.254596875</v>
      </c>
      <c r="AO111" s="61">
        <f>AO109*0.15</f>
        <v>30000</v>
      </c>
      <c r="AP111" s="75">
        <f t="shared" ref="AP111:AP115" si="148">SUM(AL111:AO111)</f>
        <v>130373.26357637501</v>
      </c>
      <c r="AR111" s="60">
        <f t="shared" ref="AR111:AR115" si="149">B111+H111+N111+T111+AL111+AF111+Z111</f>
        <v>1411209.1730735428</v>
      </c>
      <c r="AS111" s="60">
        <f t="shared" si="134"/>
        <v>168741.238113</v>
      </c>
      <c r="AT111" s="60">
        <f t="shared" si="134"/>
        <v>204150.92959687498</v>
      </c>
      <c r="AU111" s="60">
        <f t="shared" si="134"/>
        <v>30000</v>
      </c>
      <c r="AV111" s="75">
        <f t="shared" ref="AV111:AV115" si="150">SUM(AR111:AU111)</f>
        <v>1814101.3407834177</v>
      </c>
    </row>
    <row r="112" spans="1:48" x14ac:dyDescent="0.25">
      <c r="A112" s="21" t="s">
        <v>91</v>
      </c>
      <c r="B112" s="61">
        <f>(2500*B39)+(2000*B40)+((1500*(B42+B44+B45))+((1250*(B46+B47))+((1250*(B54+B53+B55+B56+B57+B58+B60))+((500*(B51+B49+B48))))))+(1000*5)</f>
        <v>28625</v>
      </c>
      <c r="C112" s="61">
        <f>(2500*C39)+(2000*C40)+((1500*(C42+C44+C45))+((1250*(C46+C47))+((1250*(C54+C53+C55+C56+C57+C58+C60))+((500*(C51+C49+C48))))))+(1000*2)</f>
        <v>5125</v>
      </c>
      <c r="D112" s="61">
        <f>(2500*D39)+(2000*D40)+((1500*(D42+D44+D45))+((1250*(D46+D47))+((1250*(D54+D53+D55+D56+D57+D58+D60))+((500*(D52))))))+(1000*1)</f>
        <v>2500</v>
      </c>
      <c r="E112" s="61">
        <f>(2500*E39)+(2000*E40)+((1500*(E42+E44+E45))+((1250*(E46+E47))+((1250*(E54+E53+E55+E56+E57+E58+E60))+((500*(E51+E49+E48))))))</f>
        <v>0</v>
      </c>
      <c r="F112" s="75">
        <f t="shared" si="136"/>
        <v>36250</v>
      </c>
      <c r="H112" s="61">
        <f>(2500*H39)+(2000*H40)+((1500*(H42+H44+H45))+((1250*(H46+H47))+((1250*(H54+H53+H55+H56+H57+H58+H60))+((500*(H51+H49+H48))))))+(1000*5)</f>
        <v>28000</v>
      </c>
      <c r="I112" s="61">
        <f>(2500*I39)+(2000*I40)+((1500*(I42+I44+I45))+((1250*(I46+I47))+((1250*(I54+I53+I55+I56+I57+I58+I60))+((500*(I51+I49+I48))))))+(1000*2)</f>
        <v>5125</v>
      </c>
      <c r="J112" s="61">
        <f>(2500*J39)+(2000*J40)+((1500*(J42+J44+J45))+((1250*(J46+J47))+((1250*(J54+J53+J55+J56+J57+J58+J60))+((500*(J52))))))+(1000*1)</f>
        <v>2500</v>
      </c>
      <c r="K112" s="61">
        <f>(2500*K39)+(2000*K40)+((1500*(K42+K44+K45))+((1250*(K46+K47))+((1250*(K54+K53+K55+K56+K57+K58+K60))+((500*(K51+K49+K48))))))</f>
        <v>0</v>
      </c>
      <c r="L112" s="75">
        <f t="shared" si="138"/>
        <v>35625</v>
      </c>
      <c r="N112" s="61">
        <f>(2500*N39)+(2000*N40)+((1500*(N42+N44+N45))+((1250*(N46+N47))+((1250*(N54+N53+N55+N56+N57+N58+N60))+((500*(N51+N49+N48))))))+(1000*5)</f>
        <v>43250</v>
      </c>
      <c r="O112" s="61">
        <f>(2500*O39)+(2000*O40)+((1500*(O42+O44+O45))+((1250*(O46+O47))+((1250*(O54+O53+O55+O56+O57+O58+O60))+((500*(O51+O49+O48))))))+(1000*2)</f>
        <v>5750</v>
      </c>
      <c r="P112" s="61">
        <f>(2500*P39)+(2000*P40)+((1500*(P42+P44+P45))+((1250*(P46+P47))+((1250*(P54+P53+P55+P56+P57+P58+P60))+((500*(P52))))))+(1000*1)</f>
        <v>5500</v>
      </c>
      <c r="Q112" s="61">
        <f>(2500*Q39)+(2000*Q40)+((1500*(Q42+Q44+Q45))+((1250*(Q46+Q47))+((1250*(Q54+Q53+Q55+Q56+Q57+Q58+Q60))+((500*(Q51+Q49+Q48))))))</f>
        <v>0</v>
      </c>
      <c r="R112" s="75">
        <f t="shared" si="140"/>
        <v>54500</v>
      </c>
      <c r="T112" s="61">
        <f>(2500*T39)+(2000*T40)+((1500*(T42+T44+T45))+((1250*(T46+T47))+((1250*(T54+T53+T55+T56+T57+T58+T60))+((500*(T51+T49+T48))))))+(1000*1)</f>
        <v>5750</v>
      </c>
      <c r="U112" s="61">
        <f>(2500*U39)+(2000*U40)+((1500*(U42+U44+U45))+((1250*(U46+U47))+((1250*(U54+U53+U55+U56+U57+U58+U60))+((500*(U51+U49+U48))))))</f>
        <v>0</v>
      </c>
      <c r="V112" s="61">
        <f t="shared" ref="V112:W112" si="151">(2500*V39)+(2000*V40)+((1500*(V42+V44+V45))+((1250*(V46+V47))+((1250*(V54+V53+V55+V56+V57+V58+V60))+((500*(V51+V49+V48))))))</f>
        <v>0</v>
      </c>
      <c r="W112" s="61">
        <f t="shared" si="151"/>
        <v>0</v>
      </c>
      <c r="X112" s="75">
        <f t="shared" si="142"/>
        <v>5750</v>
      </c>
      <c r="Y112" s="194"/>
      <c r="Z112" s="61">
        <f>((2500*Z39)+(2000*Z40)+((1500*(Z42+Z44+Z45))+((1250*(Z46+Z47))+((1250*(Z54+Z53+Z55+Z56+Z57+Z58+Z60))+((500*(Z51+Z49+Z48))))))+(1000*1))</f>
        <v>14000</v>
      </c>
      <c r="AA112" s="61">
        <f>(2500*AA39)+(2000*AA40)+((1500*(AA42+AA44+AA45))+((1250*(AA46+AA47))+((1250*(AA54+AA53+AA55+AA56+AA57+AA58+AA60))+((500*(AA51+AA49+AA48))))))</f>
        <v>0</v>
      </c>
      <c r="AB112" s="61">
        <f t="shared" ref="AB112:AC112" si="152">(2500*AB39)+(2000*AB40)+((1500*(AB42+AB44+AB45))+((1250*(AB46+AB47))+((1250*(AB54+AB53+AB55+AB56+AB57+AB58+AB60))+((500*(AB51+AB49+AB48))))))</f>
        <v>0</v>
      </c>
      <c r="AC112" s="61">
        <f t="shared" si="152"/>
        <v>0</v>
      </c>
      <c r="AD112" s="75">
        <f t="shared" si="144"/>
        <v>14000</v>
      </c>
      <c r="AE112" s="194"/>
      <c r="AF112" s="61">
        <f>(2500*AF39)+(2000*AF40)+((1500*(AF42+AF44+AF45))+((1250*(AF46+AF47))+((1250*(AF54+AF53+AF55+AF56+AF57+AF58+AF60))+((500*(AF51+AF49+AF48))))))+(1000*5)</f>
        <v>19000</v>
      </c>
      <c r="AG112" s="61">
        <f>(2500*AG39)+(2000*AG40)+((1500*(AG42+AG44+AG45))+((1250*(AG46+AG47))+((1250*(AG54+AG53+AG55+AG56+AG57+AG58+AG60))+((500*(AG51+AG49+AG48))))))+(1000*2)</f>
        <v>2000</v>
      </c>
      <c r="AH112" s="61">
        <f>(2500*AH39)+(2000*AH40)+((1500*(AH42+AH44+AH45))+((1250*(AH46+AH47))+((1250*(AH54+AH53+AH55+AH56+AH57+AH58+AH60))+((500*(AH52))))))+(1000*1)</f>
        <v>1000</v>
      </c>
      <c r="AI112" s="61">
        <f>(2500*AI39)+(2000*AI40)+((1500*(AI42+AI44+AI45))+((1250*(AI46+AI47))+((1250*(AI54+AI53+AI55+AI56+AI57+AI58+AI60))+((500*(AI51+AI49+AI48))))))</f>
        <v>0</v>
      </c>
      <c r="AJ112" s="75">
        <f t="shared" si="146"/>
        <v>22000</v>
      </c>
      <c r="AL112" s="61">
        <f>(2500*AL39)+(2000*AL40)+((1500*(AL42+AL44+AL45))+((1250*(AL46+AL47))+((1250*(AL54+AL53+AL55+AL56+AL57+AL58+AL60))+((500*(AL51+AL49+AL48))))))</f>
        <v>2750</v>
      </c>
      <c r="AM112" s="61">
        <f>(2500*AM39)+(2000*AM40)+((1500*(AM42+AM44+AM45))+((1250*(AM46+AM47))+((1250*(AM54+AM53+AM55+AM56+AM57+AM58+AM60))+((500*(AM51+AM49+AM48))))))</f>
        <v>4500</v>
      </c>
      <c r="AN112" s="61">
        <f>(2500*AN39)+(2000*AN40)+((1500*(AN42+AN44+AN45))+((1250*(AN46+AN47))+((1250*(AN54+AN53+AN55+AN56+AN57+AN58+AN60))+((500*(AN52))))))+(1000*1)</f>
        <v>1500</v>
      </c>
      <c r="AO112" s="61">
        <f>(2500*AO39)+(2000*AO40)+((1500*(AO42+AO44+AO45))+((1250*(AO46+AO47))+((1250*(AO54+AO53+AO55+AO56+AO57+AO58+AO60))+((500*(AO51+AO49+AO48))))))</f>
        <v>3000</v>
      </c>
      <c r="AP112" s="75">
        <f t="shared" si="148"/>
        <v>11750</v>
      </c>
      <c r="AR112" s="60">
        <f t="shared" si="149"/>
        <v>141375</v>
      </c>
      <c r="AS112" s="60">
        <f t="shared" si="134"/>
        <v>22500</v>
      </c>
      <c r="AT112" s="60">
        <f t="shared" si="134"/>
        <v>13000</v>
      </c>
      <c r="AU112" s="60">
        <f t="shared" si="134"/>
        <v>3000</v>
      </c>
      <c r="AV112" s="75">
        <f t="shared" si="150"/>
        <v>179875</v>
      </c>
    </row>
    <row r="113" spans="1:48" x14ac:dyDescent="0.25">
      <c r="A113" s="21" t="s">
        <v>92</v>
      </c>
      <c r="B113" s="61">
        <f>250*B64</f>
        <v>5375</v>
      </c>
      <c r="C113" s="61">
        <f t="shared" ref="C113:E113" si="153">250*C64</f>
        <v>625</v>
      </c>
      <c r="D113" s="61">
        <f t="shared" si="153"/>
        <v>750</v>
      </c>
      <c r="E113" s="61">
        <f t="shared" si="153"/>
        <v>0</v>
      </c>
      <c r="F113" s="75">
        <f t="shared" si="136"/>
        <v>6750</v>
      </c>
      <c r="H113" s="61">
        <f>250*H64</f>
        <v>4750</v>
      </c>
      <c r="I113" s="61">
        <f t="shared" ref="I113:K113" si="154">250*I64</f>
        <v>625</v>
      </c>
      <c r="J113" s="61">
        <f t="shared" si="154"/>
        <v>750</v>
      </c>
      <c r="K113" s="61">
        <f t="shared" si="154"/>
        <v>0</v>
      </c>
      <c r="L113" s="75">
        <f t="shared" si="138"/>
        <v>6125</v>
      </c>
      <c r="N113" s="61">
        <f>250*N64</f>
        <v>10000</v>
      </c>
      <c r="O113" s="61">
        <f t="shared" ref="O113:Q113" si="155">250*O64</f>
        <v>750</v>
      </c>
      <c r="P113" s="61">
        <f t="shared" si="155"/>
        <v>2250</v>
      </c>
      <c r="Q113" s="61">
        <f t="shared" si="155"/>
        <v>0</v>
      </c>
      <c r="R113" s="75">
        <f t="shared" si="140"/>
        <v>13000</v>
      </c>
      <c r="T113" s="61">
        <f>250*T64</f>
        <v>1000</v>
      </c>
      <c r="U113" s="61">
        <f t="shared" ref="U113:W113" si="156">250*U64</f>
        <v>0</v>
      </c>
      <c r="V113" s="61">
        <f t="shared" si="156"/>
        <v>0</v>
      </c>
      <c r="W113" s="61">
        <f t="shared" si="156"/>
        <v>0</v>
      </c>
      <c r="X113" s="75">
        <f t="shared" si="142"/>
        <v>1000</v>
      </c>
      <c r="Y113" s="194"/>
      <c r="Z113" s="61">
        <f>250*Z64</f>
        <v>2750</v>
      </c>
      <c r="AA113" s="61">
        <f t="shared" ref="AA113:AC113" si="157">250*AA64</f>
        <v>0</v>
      </c>
      <c r="AB113" s="61">
        <f t="shared" si="157"/>
        <v>500</v>
      </c>
      <c r="AC113" s="61">
        <f t="shared" si="157"/>
        <v>0</v>
      </c>
      <c r="AD113" s="75">
        <f t="shared" si="144"/>
        <v>3250</v>
      </c>
      <c r="AE113" s="194"/>
      <c r="AF113" s="61">
        <f>250*AF64</f>
        <v>2750</v>
      </c>
      <c r="AG113" s="61">
        <f t="shared" ref="AG113:AI113" si="158">250*AG64</f>
        <v>0</v>
      </c>
      <c r="AH113" s="61">
        <f t="shared" si="158"/>
        <v>0</v>
      </c>
      <c r="AI113" s="61">
        <f t="shared" si="158"/>
        <v>0</v>
      </c>
      <c r="AJ113" s="75">
        <f t="shared" si="146"/>
        <v>2750</v>
      </c>
      <c r="AL113" s="61">
        <f>250*AL64</f>
        <v>500</v>
      </c>
      <c r="AM113" s="61">
        <f t="shared" ref="AM113:AO113" si="159">250*AM64</f>
        <v>750</v>
      </c>
      <c r="AN113" s="61">
        <f t="shared" si="159"/>
        <v>250</v>
      </c>
      <c r="AO113" s="61">
        <f t="shared" si="159"/>
        <v>500</v>
      </c>
      <c r="AP113" s="75">
        <f t="shared" si="148"/>
        <v>2000</v>
      </c>
      <c r="AR113" s="60">
        <f t="shared" si="149"/>
        <v>27125</v>
      </c>
      <c r="AS113" s="60">
        <f t="shared" si="134"/>
        <v>2750</v>
      </c>
      <c r="AT113" s="60">
        <f t="shared" si="134"/>
        <v>4500</v>
      </c>
      <c r="AU113" s="60">
        <f t="shared" si="134"/>
        <v>500</v>
      </c>
      <c r="AV113" s="75">
        <f t="shared" si="150"/>
        <v>34875</v>
      </c>
    </row>
    <row r="114" spans="1:48" x14ac:dyDescent="0.25">
      <c r="A114" s="21" t="s">
        <v>93</v>
      </c>
      <c r="B114" s="63"/>
      <c r="C114" s="63"/>
      <c r="D114" s="63"/>
      <c r="E114" s="63"/>
      <c r="F114" s="75">
        <f t="shared" si="136"/>
        <v>0</v>
      </c>
      <c r="H114" s="63"/>
      <c r="I114" s="63"/>
      <c r="J114" s="63"/>
      <c r="K114" s="63"/>
      <c r="L114" s="75">
        <f t="shared" si="138"/>
        <v>0</v>
      </c>
      <c r="N114" s="63"/>
      <c r="O114" s="63"/>
      <c r="P114" s="63"/>
      <c r="Q114" s="63"/>
      <c r="R114" s="75">
        <f t="shared" si="140"/>
        <v>0</v>
      </c>
      <c r="T114" s="63"/>
      <c r="U114" s="63"/>
      <c r="V114" s="63"/>
      <c r="W114" s="63"/>
      <c r="X114" s="75">
        <f t="shared" si="142"/>
        <v>0</v>
      </c>
      <c r="Y114" s="194"/>
      <c r="Z114" s="63"/>
      <c r="AA114" s="63"/>
      <c r="AB114" s="63"/>
      <c r="AC114" s="63"/>
      <c r="AD114" s="75">
        <f t="shared" si="144"/>
        <v>0</v>
      </c>
      <c r="AE114" s="194"/>
      <c r="AF114" s="63"/>
      <c r="AG114" s="63"/>
      <c r="AH114" s="63"/>
      <c r="AI114" s="63"/>
      <c r="AJ114" s="75">
        <f t="shared" si="146"/>
        <v>0</v>
      </c>
      <c r="AL114" s="61">
        <v>0</v>
      </c>
      <c r="AM114" s="61"/>
      <c r="AN114" s="61"/>
      <c r="AO114" s="61"/>
      <c r="AP114" s="75">
        <f t="shared" si="148"/>
        <v>0</v>
      </c>
      <c r="AR114" s="60">
        <f t="shared" si="149"/>
        <v>0</v>
      </c>
      <c r="AS114" s="60">
        <f t="shared" si="134"/>
        <v>0</v>
      </c>
      <c r="AT114" s="60">
        <f t="shared" si="134"/>
        <v>0</v>
      </c>
      <c r="AU114" s="60">
        <f t="shared" si="134"/>
        <v>0</v>
      </c>
      <c r="AV114" s="75">
        <f t="shared" si="150"/>
        <v>0</v>
      </c>
    </row>
    <row r="115" spans="1:48" x14ac:dyDescent="0.25">
      <c r="A115" s="22" t="s">
        <v>94</v>
      </c>
      <c r="B115" s="64">
        <v>1500</v>
      </c>
      <c r="C115" s="64"/>
      <c r="D115" s="64"/>
      <c r="E115" s="64"/>
      <c r="F115" s="75">
        <f t="shared" si="136"/>
        <v>1500</v>
      </c>
      <c r="H115" s="64">
        <v>1500</v>
      </c>
      <c r="I115" s="64"/>
      <c r="J115" s="64"/>
      <c r="K115" s="64"/>
      <c r="L115" s="75">
        <f t="shared" si="138"/>
        <v>1500</v>
      </c>
      <c r="N115" s="64">
        <v>5000</v>
      </c>
      <c r="O115" s="64"/>
      <c r="P115" s="64"/>
      <c r="Q115" s="64"/>
      <c r="R115" s="75">
        <f t="shared" si="140"/>
        <v>5000</v>
      </c>
      <c r="T115" s="64">
        <v>2500</v>
      </c>
      <c r="U115" s="64"/>
      <c r="V115" s="64"/>
      <c r="W115" s="64"/>
      <c r="X115" s="75">
        <f t="shared" si="142"/>
        <v>2500</v>
      </c>
      <c r="Y115" s="194"/>
      <c r="Z115" s="64">
        <v>2500</v>
      </c>
      <c r="AA115" s="64"/>
      <c r="AB115" s="64"/>
      <c r="AC115" s="64"/>
      <c r="AD115" s="75">
        <f t="shared" si="144"/>
        <v>2500</v>
      </c>
      <c r="AE115" s="194"/>
      <c r="AF115" s="64">
        <v>2000</v>
      </c>
      <c r="AG115" s="64"/>
      <c r="AH115" s="64"/>
      <c r="AI115" s="64"/>
      <c r="AJ115" s="75">
        <f t="shared" si="146"/>
        <v>2000</v>
      </c>
      <c r="AL115" s="91"/>
      <c r="AM115" s="91"/>
      <c r="AN115" s="91"/>
      <c r="AO115" s="91"/>
      <c r="AP115" s="75">
        <f t="shared" si="148"/>
        <v>0</v>
      </c>
      <c r="AR115" s="60">
        <f t="shared" si="149"/>
        <v>15000</v>
      </c>
      <c r="AS115" s="60">
        <f t="shared" si="134"/>
        <v>0</v>
      </c>
      <c r="AT115" s="60">
        <f t="shared" si="134"/>
        <v>0</v>
      </c>
      <c r="AU115" s="60">
        <f t="shared" si="134"/>
        <v>0</v>
      </c>
      <c r="AV115" s="75">
        <f t="shared" si="150"/>
        <v>15000</v>
      </c>
    </row>
    <row r="116" spans="1:48" x14ac:dyDescent="0.25">
      <c r="A116" s="27"/>
      <c r="B116" s="76">
        <f>SUM(B110:B115)</f>
        <v>795611.67153095384</v>
      </c>
      <c r="C116" s="76">
        <f t="shared" ref="C116:F116" si="160">SUM(C110:C115)</f>
        <v>120966.97660675</v>
      </c>
      <c r="D116" s="76">
        <f t="shared" si="160"/>
        <v>76964.95</v>
      </c>
      <c r="E116" s="76">
        <f t="shared" si="160"/>
        <v>0</v>
      </c>
      <c r="F116" s="76">
        <f t="shared" si="160"/>
        <v>993543.59813770372</v>
      </c>
      <c r="H116" s="76">
        <f>SUM(H110:H115)</f>
        <v>830464.45777434995</v>
      </c>
      <c r="I116" s="76">
        <f t="shared" ref="I116:L116" si="161">SUM(I110:I115)</f>
        <v>120954.47660675</v>
      </c>
      <c r="J116" s="76">
        <f t="shared" si="161"/>
        <v>76657.149999999994</v>
      </c>
      <c r="K116" s="76">
        <f t="shared" si="161"/>
        <v>0</v>
      </c>
      <c r="L116" s="76">
        <f t="shared" si="161"/>
        <v>1028076.0843811</v>
      </c>
      <c r="N116" s="76">
        <f>SUM(N110:N115)</f>
        <v>1492891.1505984752</v>
      </c>
      <c r="O116" s="76">
        <f t="shared" ref="O116:R116" si="162">SUM(O110:O115)</f>
        <v>145891.52503275001</v>
      </c>
      <c r="P116" s="76">
        <f t="shared" si="162"/>
        <v>223200.55</v>
      </c>
      <c r="Q116" s="76">
        <f t="shared" si="162"/>
        <v>0</v>
      </c>
      <c r="R116" s="76">
        <f t="shared" si="162"/>
        <v>1861983.2256312249</v>
      </c>
      <c r="T116" s="76">
        <f>SUM(T110:T115)</f>
        <v>155920.41051750001</v>
      </c>
      <c r="U116" s="76">
        <f t="shared" ref="U116:X116" si="163">SUM(U110:U115)</f>
        <v>0</v>
      </c>
      <c r="V116" s="76">
        <f t="shared" si="163"/>
        <v>4790.1375000000007</v>
      </c>
      <c r="W116" s="76">
        <f t="shared" si="163"/>
        <v>0</v>
      </c>
      <c r="X116" s="76">
        <f t="shared" si="163"/>
        <v>160710.54801750003</v>
      </c>
      <c r="Y116" s="199"/>
      <c r="Z116" s="76">
        <f>SUM(Z110:Z115)</f>
        <v>429758.86</v>
      </c>
      <c r="AA116" s="76">
        <f t="shared" ref="AA116:AD116" si="164">SUM(AA110:AA115)</f>
        <v>0</v>
      </c>
      <c r="AB116" s="76">
        <f t="shared" si="164"/>
        <v>47522.9</v>
      </c>
      <c r="AC116" s="76">
        <f t="shared" si="164"/>
        <v>0</v>
      </c>
      <c r="AD116" s="76">
        <f t="shared" si="164"/>
        <v>477281.76</v>
      </c>
      <c r="AE116" s="199"/>
      <c r="AF116" s="76">
        <f>SUM(AF110:AF115)</f>
        <v>443211.32499999995</v>
      </c>
      <c r="AG116" s="76">
        <f t="shared" ref="AG116:AJ116" si="165">SUM(AG110:AG115)</f>
        <v>2000</v>
      </c>
      <c r="AH116" s="76">
        <f t="shared" si="165"/>
        <v>26674.35</v>
      </c>
      <c r="AI116" s="76">
        <f t="shared" si="165"/>
        <v>0</v>
      </c>
      <c r="AJ116" s="76">
        <f t="shared" si="165"/>
        <v>471885.67499999993</v>
      </c>
      <c r="AL116" s="76">
        <f>SUM(AL110:AL115)</f>
        <v>97389.632671000014</v>
      </c>
      <c r="AM116" s="76">
        <f t="shared" ref="AM116:AP116" si="166">SUM(AM110:AM115)</f>
        <v>175391.46017512502</v>
      </c>
      <c r="AN116" s="76">
        <f t="shared" si="166"/>
        <v>39909.398719531251</v>
      </c>
      <c r="AO116" s="76">
        <f t="shared" si="166"/>
        <v>107000</v>
      </c>
      <c r="AP116" s="76">
        <f t="shared" si="166"/>
        <v>419690.49156565632</v>
      </c>
      <c r="AR116" s="76">
        <f>SUM(AR110:AR115)</f>
        <v>4245247.5080922786</v>
      </c>
      <c r="AS116" s="76">
        <f t="shared" ref="AS116:AV116" si="167">SUM(AS110:AS115)</f>
        <v>565204.43842137512</v>
      </c>
      <c r="AT116" s="76">
        <f t="shared" si="167"/>
        <v>495719.43621953123</v>
      </c>
      <c r="AU116" s="76">
        <f t="shared" si="167"/>
        <v>107000</v>
      </c>
      <c r="AV116" s="76">
        <f t="shared" si="167"/>
        <v>5413171.3827331848</v>
      </c>
    </row>
    <row r="117" spans="1:48" x14ac:dyDescent="0.25">
      <c r="B117" s="77"/>
      <c r="C117" s="77"/>
      <c r="D117" s="77"/>
      <c r="E117" s="77"/>
      <c r="F117" s="77"/>
      <c r="H117" s="77"/>
      <c r="I117" s="77"/>
      <c r="J117" s="77"/>
      <c r="K117" s="77"/>
      <c r="L117" s="77"/>
      <c r="N117" s="77"/>
      <c r="O117" s="77"/>
      <c r="P117" s="77"/>
      <c r="Q117" s="77"/>
      <c r="R117" s="77"/>
      <c r="T117" s="77"/>
      <c r="U117" s="77"/>
      <c r="V117" s="77"/>
      <c r="W117" s="77"/>
      <c r="X117" s="77"/>
      <c r="Y117" s="79"/>
      <c r="Z117" s="77"/>
      <c r="AA117" s="77"/>
      <c r="AB117" s="77"/>
      <c r="AC117" s="77"/>
      <c r="AD117" s="77"/>
      <c r="AE117" s="79"/>
      <c r="AF117" s="77"/>
      <c r="AG117" s="77"/>
      <c r="AH117" s="77"/>
      <c r="AI117" s="77"/>
      <c r="AJ117" s="77"/>
      <c r="AL117" s="57"/>
      <c r="AM117" s="57"/>
      <c r="AN117" s="57"/>
      <c r="AO117" s="57"/>
      <c r="AP117" s="77"/>
      <c r="AR117" s="57"/>
      <c r="AS117" s="57"/>
      <c r="AT117" s="57"/>
      <c r="AU117" s="57"/>
      <c r="AV117" s="77"/>
    </row>
    <row r="118" spans="1:48" x14ac:dyDescent="0.25">
      <c r="A118" s="28"/>
      <c r="B118" s="78" t="s">
        <v>157</v>
      </c>
      <c r="C118" s="78" t="s">
        <v>158</v>
      </c>
      <c r="D118" s="78" t="s">
        <v>159</v>
      </c>
      <c r="E118" s="78" t="str">
        <f>E91</f>
        <v>Other</v>
      </c>
      <c r="F118" s="78" t="str">
        <f>F91</f>
        <v>FY29- Mtn</v>
      </c>
      <c r="H118" s="78" t="s">
        <v>157</v>
      </c>
      <c r="I118" s="78" t="s">
        <v>158</v>
      </c>
      <c r="J118" s="78" t="s">
        <v>159</v>
      </c>
      <c r="K118" s="78" t="str">
        <f>K91</f>
        <v>Other</v>
      </c>
      <c r="L118" s="78" t="str">
        <f>L91</f>
        <v>FY29- Bon</v>
      </c>
      <c r="N118" s="78" t="s">
        <v>157</v>
      </c>
      <c r="O118" s="78" t="s">
        <v>158</v>
      </c>
      <c r="P118" s="78" t="s">
        <v>159</v>
      </c>
      <c r="Q118" s="78" t="str">
        <f>Q91</f>
        <v>Other</v>
      </c>
      <c r="R118" s="78" t="str">
        <f>R91</f>
        <v>FY29- East</v>
      </c>
      <c r="T118" s="78" t="s">
        <v>157</v>
      </c>
      <c r="U118" s="78" t="s">
        <v>158</v>
      </c>
      <c r="V118" s="78" t="s">
        <v>159</v>
      </c>
      <c r="W118" s="78" t="str">
        <f>W91</f>
        <v>Other</v>
      </c>
      <c r="X118" s="78" t="str">
        <f>X91</f>
        <v>FY29- Cactus</v>
      </c>
      <c r="Y118" s="201"/>
      <c r="Z118" s="78" t="s">
        <v>157</v>
      </c>
      <c r="AA118" s="78" t="s">
        <v>158</v>
      </c>
      <c r="AB118" s="78" t="s">
        <v>159</v>
      </c>
      <c r="AC118" s="78" t="str">
        <f>AC91</f>
        <v>Other</v>
      </c>
      <c r="AD118" s="78" t="str">
        <f>AD91</f>
        <v>FY29- Sahara</v>
      </c>
      <c r="AE118" s="201"/>
      <c r="AF118" s="78" t="s">
        <v>157</v>
      </c>
      <c r="AG118" s="78" t="s">
        <v>158</v>
      </c>
      <c r="AH118" s="78" t="s">
        <v>159</v>
      </c>
      <c r="AI118" s="78" t="str">
        <f>AI91</f>
        <v>Other</v>
      </c>
      <c r="AJ118" s="78" t="str">
        <f>AJ91</f>
        <v>FY29- VV</v>
      </c>
      <c r="AL118" s="78" t="s">
        <v>157</v>
      </c>
      <c r="AM118" s="78" t="s">
        <v>158</v>
      </c>
      <c r="AN118" s="78" t="s">
        <v>159</v>
      </c>
      <c r="AO118" s="78" t="str">
        <f>AO91</f>
        <v>Grant</v>
      </c>
      <c r="AP118" s="78" t="str">
        <f>AP91</f>
        <v>FY29 - Central</v>
      </c>
      <c r="AR118" s="78" t="s">
        <v>157</v>
      </c>
      <c r="AS118" s="78" t="s">
        <v>158</v>
      </c>
      <c r="AT118" s="78" t="s">
        <v>159</v>
      </c>
      <c r="AU118" s="78" t="str">
        <f>AU91</f>
        <v>Other</v>
      </c>
      <c r="AV118" s="78" t="str">
        <f>AV91</f>
        <v>FY29- Sys</v>
      </c>
    </row>
    <row r="119" spans="1:48" x14ac:dyDescent="0.25">
      <c r="A119" s="20" t="s">
        <v>95</v>
      </c>
      <c r="B119" s="75">
        <f>(77250+77250)*1.01*1.01*1.01</f>
        <v>159181.50450000001</v>
      </c>
      <c r="C119" s="75"/>
      <c r="D119" s="75"/>
      <c r="E119" s="75"/>
      <c r="F119" s="75">
        <f>SUM(B119:E119)</f>
        <v>159181.50450000001</v>
      </c>
      <c r="H119" s="75">
        <f>(75000+26000)*1.01*1.01*1.01</f>
        <v>104060.40100000001</v>
      </c>
      <c r="I119" s="75"/>
      <c r="J119" s="75"/>
      <c r="K119" s="75"/>
      <c r="L119" s="75">
        <f>SUM(H119:K119)</f>
        <v>104060.40100000001</v>
      </c>
      <c r="N119" s="75">
        <f>(80350+77000+87850+72100)*1.01*1.01*1.01</f>
        <v>326914.5073</v>
      </c>
      <c r="O119" s="75"/>
      <c r="P119" s="75"/>
      <c r="Q119" s="75"/>
      <c r="R119" s="75">
        <f>SUM(N119:Q119)</f>
        <v>326914.5073</v>
      </c>
      <c r="T119" s="75">
        <f>80000*1.01*1.01*1.01</f>
        <v>82424.08</v>
      </c>
      <c r="U119" s="75"/>
      <c r="V119" s="75"/>
      <c r="W119" s="75"/>
      <c r="X119" s="75">
        <f>SUM(T119:W119)</f>
        <v>82424.08</v>
      </c>
      <c r="Y119" s="194"/>
      <c r="Z119" s="75">
        <f>80000*1.01*1.01</f>
        <v>81608</v>
      </c>
      <c r="AA119" s="75"/>
      <c r="AB119" s="75"/>
      <c r="AC119" s="75"/>
      <c r="AD119" s="75">
        <f>SUM(Z119:AC119)</f>
        <v>81608</v>
      </c>
      <c r="AE119" s="194"/>
      <c r="AF119" s="75">
        <v>0</v>
      </c>
      <c r="AG119" s="75"/>
      <c r="AH119" s="75"/>
      <c r="AI119" s="75"/>
      <c r="AJ119" s="75">
        <f>SUM(AF119:AI119)</f>
        <v>0</v>
      </c>
      <c r="AL119" s="75"/>
      <c r="AM119" s="75"/>
      <c r="AN119" s="75"/>
      <c r="AO119" s="75">
        <v>300000</v>
      </c>
      <c r="AP119" s="75">
        <f>SUM(AL119:AO119)</f>
        <v>300000</v>
      </c>
      <c r="AR119" s="75">
        <f>B119+H119+N119+T119+AL119+AF119+Z119</f>
        <v>754188.49280000001</v>
      </c>
      <c r="AS119" s="75">
        <f t="shared" ref="AS119:AU124" si="168">C119+I119+O119+U119+AM119+AG119+AA119</f>
        <v>0</v>
      </c>
      <c r="AT119" s="75">
        <f t="shared" si="168"/>
        <v>0</v>
      </c>
      <c r="AU119" s="75">
        <f t="shared" si="168"/>
        <v>300000</v>
      </c>
      <c r="AV119" s="75">
        <f>SUM(AR119:AU119)</f>
        <v>1054188.4928000001</v>
      </c>
    </row>
    <row r="120" spans="1:48" x14ac:dyDescent="0.25">
      <c r="A120" s="21" t="s">
        <v>36</v>
      </c>
      <c r="B120" s="63">
        <f>85000*1.01*1.01*1.01</f>
        <v>87575.585000000006</v>
      </c>
      <c r="C120" s="63"/>
      <c r="D120" s="63"/>
      <c r="E120" s="63"/>
      <c r="F120" s="75">
        <f t="shared" ref="F120:F124" si="169">SUM(B120:E120)</f>
        <v>87575.585000000006</v>
      </c>
      <c r="H120" s="63">
        <f>77250*1.01*1.01*1.01</f>
        <v>79590.752250000005</v>
      </c>
      <c r="I120" s="63"/>
      <c r="J120" s="63"/>
      <c r="K120" s="63"/>
      <c r="L120" s="75">
        <f t="shared" ref="L120:L124" si="170">SUM(H120:K120)</f>
        <v>79590.752250000005</v>
      </c>
      <c r="N120" s="63">
        <f>77250*1.01*1.01*1.01</f>
        <v>79590.752250000005</v>
      </c>
      <c r="O120" s="63"/>
      <c r="P120" s="63"/>
      <c r="Q120" s="63"/>
      <c r="R120" s="75">
        <f t="shared" ref="R120:R124" si="171">SUM(N120:Q120)</f>
        <v>79590.752250000005</v>
      </c>
      <c r="T120" s="63"/>
      <c r="U120" s="63"/>
      <c r="V120" s="63"/>
      <c r="W120" s="63"/>
      <c r="X120" s="75">
        <f t="shared" ref="X120:X124" si="172">SUM(T120:W120)</f>
        <v>0</v>
      </c>
      <c r="Y120" s="194"/>
      <c r="Z120" s="63"/>
      <c r="AA120" s="63"/>
      <c r="AB120" s="63"/>
      <c r="AC120" s="63"/>
      <c r="AD120" s="75">
        <f t="shared" ref="AD120:AD124" si="173">SUM(Z120:AC120)</f>
        <v>0</v>
      </c>
      <c r="AE120" s="194"/>
      <c r="AF120" s="63">
        <f>82000*1.01</f>
        <v>82820</v>
      </c>
      <c r="AG120" s="63"/>
      <c r="AH120" s="63"/>
      <c r="AI120" s="63"/>
      <c r="AJ120" s="75">
        <f t="shared" ref="AJ120:AJ124" si="174">SUM(AF120:AI120)</f>
        <v>82820</v>
      </c>
      <c r="AL120" s="63"/>
      <c r="AM120" s="63"/>
      <c r="AN120" s="63"/>
      <c r="AO120" s="63">
        <v>185000</v>
      </c>
      <c r="AP120" s="75">
        <f t="shared" ref="AP120:AP124" si="175">SUM(AL120:AO120)</f>
        <v>185000</v>
      </c>
      <c r="AR120" s="75">
        <f t="shared" ref="AR120:AR124" si="176">B120+H120+N120+T120+AL120+AF120+Z120</f>
        <v>329577.0895</v>
      </c>
      <c r="AS120" s="75">
        <f t="shared" si="168"/>
        <v>0</v>
      </c>
      <c r="AT120" s="75">
        <f t="shared" si="168"/>
        <v>0</v>
      </c>
      <c r="AU120" s="75">
        <f t="shared" si="168"/>
        <v>185000</v>
      </c>
      <c r="AV120" s="75">
        <f t="shared" ref="AV120:AV124" si="177">SUM(AR120:AU120)</f>
        <v>514577.0895</v>
      </c>
    </row>
    <row r="121" spans="1:48" x14ac:dyDescent="0.25">
      <c r="A121" s="21" t="s">
        <v>96</v>
      </c>
      <c r="B121" s="63">
        <f>69600*B36</f>
        <v>3132000</v>
      </c>
      <c r="C121" s="63"/>
      <c r="D121" s="63"/>
      <c r="E121" s="63"/>
      <c r="F121" s="75">
        <f t="shared" si="169"/>
        <v>3132000</v>
      </c>
      <c r="H121" s="63">
        <f>68125*H36</f>
        <v>3065625</v>
      </c>
      <c r="I121" s="63"/>
      <c r="J121" s="63"/>
      <c r="K121" s="63"/>
      <c r="L121" s="75">
        <f t="shared" si="170"/>
        <v>3065625</v>
      </c>
      <c r="N121" s="63">
        <f>68100*N36+8000</f>
        <v>6886100</v>
      </c>
      <c r="O121" s="63"/>
      <c r="P121" s="63"/>
      <c r="Q121" s="63"/>
      <c r="R121" s="75">
        <f t="shared" si="171"/>
        <v>6886100</v>
      </c>
      <c r="T121" s="63">
        <f>59750*T36</f>
        <v>1374250</v>
      </c>
      <c r="U121" s="63"/>
      <c r="V121" s="63"/>
      <c r="W121" s="63"/>
      <c r="X121" s="75">
        <f t="shared" si="172"/>
        <v>1374250</v>
      </c>
      <c r="Y121" s="194"/>
      <c r="Z121" s="63">
        <f>58400*Z36</f>
        <v>2160800</v>
      </c>
      <c r="AA121" s="63"/>
      <c r="AB121" s="63"/>
      <c r="AC121" s="63"/>
      <c r="AD121" s="75">
        <f t="shared" si="173"/>
        <v>2160800</v>
      </c>
      <c r="AE121" s="194"/>
      <c r="AF121" s="63">
        <f>57000*AF36</f>
        <v>2166000</v>
      </c>
      <c r="AG121" s="63"/>
      <c r="AH121" s="63"/>
      <c r="AI121" s="63"/>
      <c r="AJ121" s="75">
        <f t="shared" si="174"/>
        <v>2166000</v>
      </c>
      <c r="AL121" s="63"/>
      <c r="AM121" s="63"/>
      <c r="AN121" s="63"/>
      <c r="AO121" s="63"/>
      <c r="AP121" s="75">
        <f t="shared" si="175"/>
        <v>0</v>
      </c>
      <c r="AR121" s="75">
        <f t="shared" si="176"/>
        <v>18784775</v>
      </c>
      <c r="AS121" s="75">
        <f t="shared" si="168"/>
        <v>0</v>
      </c>
      <c r="AT121" s="75">
        <f t="shared" si="168"/>
        <v>0</v>
      </c>
      <c r="AU121" s="75">
        <f t="shared" si="168"/>
        <v>0</v>
      </c>
      <c r="AV121" s="75">
        <f t="shared" si="177"/>
        <v>18784775</v>
      </c>
    </row>
    <row r="122" spans="1:48" x14ac:dyDescent="0.25">
      <c r="A122" s="21" t="s">
        <v>24</v>
      </c>
      <c r="B122" s="63"/>
      <c r="C122" s="63">
        <f>69600*C28</f>
        <v>348000</v>
      </c>
      <c r="D122" s="63"/>
      <c r="E122" s="63"/>
      <c r="F122" s="75">
        <f t="shared" si="169"/>
        <v>348000</v>
      </c>
      <c r="H122" s="63"/>
      <c r="I122" s="63">
        <f>68125*I28</f>
        <v>272500</v>
      </c>
      <c r="J122" s="63"/>
      <c r="K122" s="63"/>
      <c r="L122" s="75">
        <f t="shared" si="170"/>
        <v>272500</v>
      </c>
      <c r="N122" s="63"/>
      <c r="O122" s="63">
        <f>68100*O28</f>
        <v>953400</v>
      </c>
      <c r="P122" s="63"/>
      <c r="Q122" s="63"/>
      <c r="R122" s="75">
        <f t="shared" si="171"/>
        <v>953400</v>
      </c>
      <c r="T122" s="63"/>
      <c r="U122" s="63">
        <f>62250*U28</f>
        <v>186750</v>
      </c>
      <c r="V122" s="63"/>
      <c r="W122" s="63"/>
      <c r="X122" s="75">
        <f t="shared" si="172"/>
        <v>186750</v>
      </c>
      <c r="Y122" s="194"/>
      <c r="Z122" s="63"/>
      <c r="AA122" s="63">
        <f>61400*AA28</f>
        <v>276300</v>
      </c>
      <c r="AB122" s="63"/>
      <c r="AC122" s="63"/>
      <c r="AD122" s="75">
        <f t="shared" si="173"/>
        <v>276300</v>
      </c>
      <c r="AE122" s="194"/>
      <c r="AF122" s="63"/>
      <c r="AG122" s="63">
        <f>60750*AG28</f>
        <v>273375</v>
      </c>
      <c r="AH122" s="63"/>
      <c r="AI122" s="63"/>
      <c r="AJ122" s="75">
        <f t="shared" si="174"/>
        <v>273375</v>
      </c>
      <c r="AL122" s="63"/>
      <c r="AM122" s="63"/>
      <c r="AN122" s="63"/>
      <c r="AO122" s="63"/>
      <c r="AP122" s="75">
        <f t="shared" si="175"/>
        <v>0</v>
      </c>
      <c r="AR122" s="75">
        <f t="shared" si="176"/>
        <v>0</v>
      </c>
      <c r="AS122" s="75">
        <f t="shared" si="168"/>
        <v>2310325</v>
      </c>
      <c r="AT122" s="75">
        <f t="shared" si="168"/>
        <v>0</v>
      </c>
      <c r="AU122" s="75">
        <f t="shared" si="168"/>
        <v>0</v>
      </c>
      <c r="AV122" s="75">
        <f t="shared" si="177"/>
        <v>2310325</v>
      </c>
    </row>
    <row r="123" spans="1:48" x14ac:dyDescent="0.25">
      <c r="A123" s="21" t="s">
        <v>97</v>
      </c>
      <c r="B123" s="63">
        <f>(21.75*8*180)*B50</f>
        <v>313200</v>
      </c>
      <c r="C123" s="63">
        <f>(21.75*8*180)*C50</f>
        <v>156600</v>
      </c>
      <c r="D123" s="63"/>
      <c r="E123" s="63">
        <f>(20.25*8*180)*E50</f>
        <v>0</v>
      </c>
      <c r="F123" s="75">
        <f t="shared" si="169"/>
        <v>469800</v>
      </c>
      <c r="H123" s="63">
        <f>(21.75*8*180)*H50</f>
        <v>313200</v>
      </c>
      <c r="I123" s="63">
        <f>(21.75*8*180)*I50</f>
        <v>172260</v>
      </c>
      <c r="J123" s="63"/>
      <c r="K123" s="63">
        <f>(20.25*8*180)*K50</f>
        <v>0</v>
      </c>
      <c r="L123" s="75">
        <f t="shared" si="170"/>
        <v>485460</v>
      </c>
      <c r="N123" s="63">
        <f>(21.75*8*180)*N50</f>
        <v>375840</v>
      </c>
      <c r="O123" s="63">
        <f>(21.75*8*180)*O50</f>
        <v>438480</v>
      </c>
      <c r="P123" s="63"/>
      <c r="Q123" s="63">
        <f>(20.25*8*180)*Q50</f>
        <v>0</v>
      </c>
      <c r="R123" s="75">
        <f t="shared" si="171"/>
        <v>814320</v>
      </c>
      <c r="T123" s="63">
        <f>20.75*8*185*T50</f>
        <v>107485</v>
      </c>
      <c r="U123" s="63">
        <f>20.75*8*185*U50</f>
        <v>92130</v>
      </c>
      <c r="V123" s="63">
        <f t="shared" ref="V123:W123" si="178">20*8*185*V50</f>
        <v>0</v>
      </c>
      <c r="W123" s="63">
        <f t="shared" si="178"/>
        <v>0</v>
      </c>
      <c r="X123" s="75">
        <f t="shared" si="172"/>
        <v>199615</v>
      </c>
      <c r="Y123" s="194"/>
      <c r="Z123" s="63">
        <f>21.5*8*185*Z50</f>
        <v>95460</v>
      </c>
      <c r="AA123" s="63">
        <f>21.5*8*185*AA50</f>
        <v>159100</v>
      </c>
      <c r="AB123" s="63">
        <f t="shared" ref="AB123:AC123" si="179">20*8*185*AB50</f>
        <v>0</v>
      </c>
      <c r="AC123" s="63">
        <f t="shared" si="179"/>
        <v>0</v>
      </c>
      <c r="AD123" s="75">
        <f t="shared" si="173"/>
        <v>254560</v>
      </c>
      <c r="AE123" s="194"/>
      <c r="AF123" s="63">
        <f>20.5*8*185*AF50</f>
        <v>151700</v>
      </c>
      <c r="AG123" s="63">
        <f>20.5*8*185*AG50</f>
        <v>151700</v>
      </c>
      <c r="AH123" s="63">
        <v>0</v>
      </c>
      <c r="AI123" s="63">
        <f t="shared" ref="AI123" si="180">20*8*185*AI50</f>
        <v>0</v>
      </c>
      <c r="AJ123" s="75">
        <f t="shared" si="174"/>
        <v>303400</v>
      </c>
      <c r="AL123" s="63">
        <f>(45000)*1.01*1.01*1.01</f>
        <v>46363.544999999998</v>
      </c>
      <c r="AM123" s="63"/>
      <c r="AN123" s="63"/>
      <c r="AO123" s="63">
        <v>600000</v>
      </c>
      <c r="AP123" s="75">
        <f t="shared" si="175"/>
        <v>646363.54500000004</v>
      </c>
      <c r="AR123" s="75">
        <f t="shared" si="176"/>
        <v>1403248.5449999999</v>
      </c>
      <c r="AS123" s="75">
        <f t="shared" si="168"/>
        <v>1170270</v>
      </c>
      <c r="AT123" s="75">
        <f t="shared" si="168"/>
        <v>0</v>
      </c>
      <c r="AU123" s="75">
        <f t="shared" si="168"/>
        <v>600000</v>
      </c>
      <c r="AV123" s="75">
        <f t="shared" si="177"/>
        <v>3173518.5449999999</v>
      </c>
    </row>
    <row r="124" spans="1:48" x14ac:dyDescent="0.25">
      <c r="A124" s="22" t="s">
        <v>54</v>
      </c>
      <c r="B124" s="64">
        <f>190*180*B59</f>
        <v>68400</v>
      </c>
      <c r="C124" s="64"/>
      <c r="D124" s="64"/>
      <c r="E124" s="64"/>
      <c r="F124" s="75">
        <f t="shared" si="169"/>
        <v>68400</v>
      </c>
      <c r="H124" s="64">
        <f>190*180*H59</f>
        <v>34200</v>
      </c>
      <c r="I124" s="64"/>
      <c r="J124" s="64"/>
      <c r="K124" s="64"/>
      <c r="L124" s="75">
        <f t="shared" si="170"/>
        <v>34200</v>
      </c>
      <c r="N124" s="64">
        <f>190*180*N59</f>
        <v>102600</v>
      </c>
      <c r="O124" s="64"/>
      <c r="P124" s="64"/>
      <c r="Q124" s="64"/>
      <c r="R124" s="75">
        <f t="shared" si="171"/>
        <v>102600</v>
      </c>
      <c r="T124" s="64">
        <f>175*180*T59</f>
        <v>0</v>
      </c>
      <c r="U124" s="64"/>
      <c r="V124" s="64"/>
      <c r="W124" s="64"/>
      <c r="X124" s="75">
        <f t="shared" si="172"/>
        <v>0</v>
      </c>
      <c r="Y124" s="194"/>
      <c r="Z124" s="64">
        <f>175*180*Z59</f>
        <v>0</v>
      </c>
      <c r="AA124" s="64"/>
      <c r="AB124" s="64"/>
      <c r="AC124" s="64"/>
      <c r="AD124" s="75">
        <f t="shared" si="173"/>
        <v>0</v>
      </c>
      <c r="AE124" s="194"/>
      <c r="AF124" s="64">
        <f>175*180*AF59</f>
        <v>0</v>
      </c>
      <c r="AG124" s="64"/>
      <c r="AH124" s="64"/>
      <c r="AI124" s="64"/>
      <c r="AJ124" s="75">
        <f t="shared" si="174"/>
        <v>0</v>
      </c>
      <c r="AL124" s="64"/>
      <c r="AM124" s="64"/>
      <c r="AN124" s="64"/>
      <c r="AO124" s="64"/>
      <c r="AP124" s="75">
        <f t="shared" si="175"/>
        <v>0</v>
      </c>
      <c r="AR124" s="75">
        <f t="shared" si="176"/>
        <v>205200</v>
      </c>
      <c r="AS124" s="75">
        <f t="shared" si="168"/>
        <v>0</v>
      </c>
      <c r="AT124" s="75">
        <f t="shared" si="168"/>
        <v>0</v>
      </c>
      <c r="AU124" s="75">
        <f t="shared" si="168"/>
        <v>0</v>
      </c>
      <c r="AV124" s="75">
        <f t="shared" si="177"/>
        <v>205200</v>
      </c>
    </row>
    <row r="125" spans="1:48" x14ac:dyDescent="0.25">
      <c r="A125" s="29"/>
      <c r="B125" s="76">
        <f t="shared" ref="B125:E125" si="181">SUM(B119:B124)</f>
        <v>3760357.0894999998</v>
      </c>
      <c r="C125" s="76">
        <f t="shared" si="181"/>
        <v>504600</v>
      </c>
      <c r="D125" s="76">
        <f t="shared" si="181"/>
        <v>0</v>
      </c>
      <c r="E125" s="76">
        <f t="shared" si="181"/>
        <v>0</v>
      </c>
      <c r="F125" s="76">
        <f t="shared" ref="F125" si="182">SUM(F119:F124)</f>
        <v>4264957.0894999998</v>
      </c>
      <c r="H125" s="76">
        <f t="shared" ref="H125:L125" si="183">SUM(H119:H124)</f>
        <v>3596676.15325</v>
      </c>
      <c r="I125" s="76">
        <f t="shared" si="183"/>
        <v>444760</v>
      </c>
      <c r="J125" s="76">
        <f t="shared" si="183"/>
        <v>0</v>
      </c>
      <c r="K125" s="76">
        <f t="shared" si="183"/>
        <v>0</v>
      </c>
      <c r="L125" s="76">
        <f t="shared" si="183"/>
        <v>4041436.15325</v>
      </c>
      <c r="N125" s="76">
        <f t="shared" ref="N125:R125" si="184">SUM(N119:N124)</f>
        <v>7771045.2595499996</v>
      </c>
      <c r="O125" s="76">
        <f t="shared" si="184"/>
        <v>1391880</v>
      </c>
      <c r="P125" s="76">
        <f t="shared" si="184"/>
        <v>0</v>
      </c>
      <c r="Q125" s="76">
        <f t="shared" si="184"/>
        <v>0</v>
      </c>
      <c r="R125" s="76">
        <f t="shared" si="184"/>
        <v>9162925.2595499996</v>
      </c>
      <c r="T125" s="76">
        <f t="shared" ref="T125:X125" si="185">SUM(T119:T124)</f>
        <v>1564159.08</v>
      </c>
      <c r="U125" s="76">
        <f t="shared" si="185"/>
        <v>278880</v>
      </c>
      <c r="V125" s="76">
        <f t="shared" si="185"/>
        <v>0</v>
      </c>
      <c r="W125" s="76">
        <f t="shared" si="185"/>
        <v>0</v>
      </c>
      <c r="X125" s="76">
        <f t="shared" si="185"/>
        <v>1843039.08</v>
      </c>
      <c r="Y125" s="199"/>
      <c r="Z125" s="76">
        <f t="shared" ref="Z125:AD125" si="186">SUM(Z119:Z124)</f>
        <v>2337868</v>
      </c>
      <c r="AA125" s="76">
        <f t="shared" si="186"/>
        <v>435400</v>
      </c>
      <c r="AB125" s="76">
        <f t="shared" si="186"/>
        <v>0</v>
      </c>
      <c r="AC125" s="76">
        <f t="shared" si="186"/>
        <v>0</v>
      </c>
      <c r="AD125" s="76">
        <f t="shared" si="186"/>
        <v>2773268</v>
      </c>
      <c r="AE125" s="199"/>
      <c r="AF125" s="76">
        <f t="shared" ref="AF125:AJ125" si="187">SUM(AF119:AF124)</f>
        <v>2400520</v>
      </c>
      <c r="AG125" s="76">
        <f t="shared" si="187"/>
        <v>425075</v>
      </c>
      <c r="AH125" s="76">
        <f t="shared" si="187"/>
        <v>0</v>
      </c>
      <c r="AI125" s="76">
        <f t="shared" si="187"/>
        <v>0</v>
      </c>
      <c r="AJ125" s="76">
        <f t="shared" si="187"/>
        <v>2825595</v>
      </c>
      <c r="AL125" s="76">
        <f t="shared" ref="AL125:AP125" si="188">SUM(AL119:AL124)</f>
        <v>46363.544999999998</v>
      </c>
      <c r="AM125" s="76">
        <f t="shared" si="188"/>
        <v>0</v>
      </c>
      <c r="AN125" s="76">
        <f t="shared" si="188"/>
        <v>0</v>
      </c>
      <c r="AO125" s="76">
        <f t="shared" si="188"/>
        <v>1085000</v>
      </c>
      <c r="AP125" s="76">
        <f t="shared" si="188"/>
        <v>1131363.5449999999</v>
      </c>
      <c r="AR125" s="76">
        <f t="shared" ref="AR125:AV125" si="189">SUM(AR119:AR124)</f>
        <v>21476989.127300002</v>
      </c>
      <c r="AS125" s="76">
        <f t="shared" si="189"/>
        <v>3480595</v>
      </c>
      <c r="AT125" s="76">
        <f t="shared" si="189"/>
        <v>0</v>
      </c>
      <c r="AU125" s="76">
        <f t="shared" si="189"/>
        <v>1085000</v>
      </c>
      <c r="AV125" s="76">
        <f t="shared" si="189"/>
        <v>26042584.127300002</v>
      </c>
    </row>
    <row r="126" spans="1:48" x14ac:dyDescent="0.25">
      <c r="A126" s="20" t="s">
        <v>262</v>
      </c>
      <c r="B126" s="75">
        <f>B125*0.3825</f>
        <v>1438336.5867337498</v>
      </c>
      <c r="C126" s="75">
        <f t="shared" ref="C126:E126" si="190">C125*0.3825</f>
        <v>193009.5</v>
      </c>
      <c r="D126" s="75">
        <f t="shared" si="190"/>
        <v>0</v>
      </c>
      <c r="E126" s="75">
        <f t="shared" si="190"/>
        <v>0</v>
      </c>
      <c r="F126" s="75">
        <f>SUM(B126:E126)</f>
        <v>1631346.0867337498</v>
      </c>
      <c r="H126" s="75">
        <f>H125*0.3825</f>
        <v>1375728.6286181251</v>
      </c>
      <c r="I126" s="75">
        <f t="shared" ref="I126" si="191">I125*0.3825</f>
        <v>170120.7</v>
      </c>
      <c r="J126" s="75">
        <f t="shared" ref="J126" si="192">J125*0.3825</f>
        <v>0</v>
      </c>
      <c r="K126" s="75">
        <f t="shared" ref="K126" si="193">K125*0.3825</f>
        <v>0</v>
      </c>
      <c r="L126" s="75">
        <f>SUM(H126:K126)</f>
        <v>1545849.3286181251</v>
      </c>
      <c r="N126" s="75">
        <f>N125*0.3825</f>
        <v>2972424.8117778748</v>
      </c>
      <c r="O126" s="75">
        <f t="shared" ref="O126" si="194">O125*0.3825</f>
        <v>532394.1</v>
      </c>
      <c r="P126" s="75">
        <f t="shared" ref="P126" si="195">P125*0.3825</f>
        <v>0</v>
      </c>
      <c r="Q126" s="75">
        <f t="shared" ref="Q126" si="196">Q125*0.3825</f>
        <v>0</v>
      </c>
      <c r="R126" s="75">
        <f>SUM(N126:Q126)</f>
        <v>3504818.9117778749</v>
      </c>
      <c r="T126" s="75">
        <f>T125*0.3825</f>
        <v>598290.84810000006</v>
      </c>
      <c r="U126" s="75">
        <f t="shared" ref="U126:W126" si="197">U125*0.3825</f>
        <v>106671.6</v>
      </c>
      <c r="V126" s="75">
        <f t="shared" si="197"/>
        <v>0</v>
      </c>
      <c r="W126" s="75">
        <f t="shared" si="197"/>
        <v>0</v>
      </c>
      <c r="X126" s="75">
        <f>SUM(T126:W126)</f>
        <v>704962.44810000004</v>
      </c>
      <c r="Y126" s="194"/>
      <c r="Z126" s="75">
        <f>Z125*0.3825</f>
        <v>894234.51</v>
      </c>
      <c r="AA126" s="75">
        <f t="shared" ref="AA126:AC126" si="198">AA125*0.3825</f>
        <v>166540.5</v>
      </c>
      <c r="AB126" s="75">
        <f t="shared" si="198"/>
        <v>0</v>
      </c>
      <c r="AC126" s="75">
        <f t="shared" si="198"/>
        <v>0</v>
      </c>
      <c r="AD126" s="75">
        <f>SUM(Z126:AC126)</f>
        <v>1060775.01</v>
      </c>
      <c r="AE126" s="194"/>
      <c r="AF126" s="75">
        <f>AF125*0.3825</f>
        <v>918198.9</v>
      </c>
      <c r="AG126" s="75">
        <f t="shared" ref="AG126:AH126" si="199">AG125*0.3825</f>
        <v>162591.1875</v>
      </c>
      <c r="AH126" s="75">
        <f t="shared" si="199"/>
        <v>0</v>
      </c>
      <c r="AI126" s="75">
        <f t="shared" ref="AI126" si="200">AI125*0.3775</f>
        <v>0</v>
      </c>
      <c r="AJ126" s="75">
        <f>SUM(AF126:AI126)</f>
        <v>1080790.0874999999</v>
      </c>
      <c r="AL126" s="75">
        <f>AL125*0.3825</f>
        <v>17734.055962499999</v>
      </c>
      <c r="AM126" s="75">
        <f t="shared" ref="AM126:AN126" si="201">AM125*0.3825</f>
        <v>0</v>
      </c>
      <c r="AN126" s="75">
        <f t="shared" si="201"/>
        <v>0</v>
      </c>
      <c r="AO126" s="75">
        <f t="shared" ref="AO126" si="202">AO125*0.3675</f>
        <v>398737.5</v>
      </c>
      <c r="AP126" s="75">
        <f>SUM(AL126:AO126)</f>
        <v>416471.55596249999</v>
      </c>
      <c r="AR126" s="75">
        <f>B126+H126+N126+T126+AL126+AF126+Z126</f>
        <v>8214948.3411922501</v>
      </c>
      <c r="AS126" s="75">
        <f t="shared" ref="AS126:AU131" si="203">C126+I126+O126+U126+AM126+AG126+AA126</f>
        <v>1331327.5874999999</v>
      </c>
      <c r="AT126" s="75">
        <f t="shared" si="203"/>
        <v>0</v>
      </c>
      <c r="AU126" s="75">
        <f t="shared" si="203"/>
        <v>398737.5</v>
      </c>
      <c r="AV126" s="75">
        <f>SUM(AR126:AU126)</f>
        <v>9945013.4286922496</v>
      </c>
    </row>
    <row r="127" spans="1:48" x14ac:dyDescent="0.25">
      <c r="A127" s="21" t="s">
        <v>90</v>
      </c>
      <c r="B127" s="61">
        <f>(((10870*(B63*0.9))+((235*(B63*0.875))+((100*(B63*0.85))+(B65*25)+(B125*0.015)+(B125*0.03)))))-2500</f>
        <v>752973.81902749999</v>
      </c>
      <c r="C127" s="61">
        <f>(((10870*(C63*0.875))+((235*(C63*0.875))+((100*(C63*0.85))+(C65*25)+(C125*0.015)+(C125*0.03)))))</f>
        <v>121038.25</v>
      </c>
      <c r="D127" s="61">
        <f>(((8975*(D63*0.85))+((200*(D63*0.85))+((80*(D63*0.85))+(D63*10)+(D125*0.015)+(D125*0.03)))))</f>
        <v>0</v>
      </c>
      <c r="E127" s="61">
        <f t="shared" ref="E127" si="204">(((8150*(E63*0.85))+((185*(E63*0.85))+((75*(E63*0.85))+(E65*7)+(E125*0.015)+(E125*0.03)))))</f>
        <v>0</v>
      </c>
      <c r="F127" s="75">
        <f t="shared" ref="F127:F131" si="205">SUM(B127:E127)</f>
        <v>874012.06902749999</v>
      </c>
      <c r="H127" s="61">
        <f>(((10870*(H63*0.9))+((235*(H63*0.875))+((100*(H63*0.85))+(H65*25)+(H125*0.015)+(H125*0.03)))))-2500</f>
        <v>740496.36439624999</v>
      </c>
      <c r="I127" s="61">
        <f>(((10870*(I63*0.875))+((235*(I63*0.875))+((100*(I63*0.85))+(I65*25)+(I125*0.015)+(I125*0.03)))))</f>
        <v>113432.0125</v>
      </c>
      <c r="J127" s="61">
        <f>(((8975*(J63*0.85))+((200*(J63*0.85))+((80*(J63*0.85))+(J63*10)+(J125*0.015)+(J125*0.03)))))</f>
        <v>0</v>
      </c>
      <c r="K127" s="61">
        <f t="shared" ref="K127" si="206">(((8150*(K63*0.85))+((185*(K63*0.85))+((75*(K63*0.85))+(K65*7)+(K125*0.015)+(K125*0.03)))))</f>
        <v>0</v>
      </c>
      <c r="L127" s="75">
        <f t="shared" ref="L127:L131" si="207">SUM(H127:K127)</f>
        <v>853928.37689624995</v>
      </c>
      <c r="N127" s="61">
        <f>(((10870*(N63*0.9))+((235*(N63*0.875))+((100*(N63*0.85))+(N65*25)+(N125*0.015)+(N125*0.03)))))-2500</f>
        <v>1539834.7866797498</v>
      </c>
      <c r="O127" s="61">
        <f>(((10870*(O63*0.875))+((235*(O63*0.875))+((100*(O63*0.85))+(O65*25)+(O125*0.015)+(O125*0.03)))))</f>
        <v>337862.1</v>
      </c>
      <c r="P127" s="61">
        <f>(((8975*(P63*0.85))+((200*(P63*0.85))+((80*(P63*0.85))+(P63*10)+(P125*0.015)+(P125*0.03)))))</f>
        <v>0</v>
      </c>
      <c r="Q127" s="61">
        <f t="shared" ref="Q127" si="208">(((8150*(Q63*0.85))+((185*(Q63*0.85))+((75*(Q63*0.85))+(Q65*7)+(Q125*0.015)+(Q125*0.03)))))</f>
        <v>0</v>
      </c>
      <c r="R127" s="75">
        <f t="shared" ref="R127:R131" si="209">SUM(N127:Q127)</f>
        <v>1877696.8866797499</v>
      </c>
      <c r="T127" s="61">
        <f>(((10870*(T63*0.85))+((225*(T63*0.85))+((100*(T63*0.85))+(T65*25)+(T125*0.015)+(T125*0.03)))))</f>
        <v>332857.78359999997</v>
      </c>
      <c r="U127" s="61">
        <f t="shared" ref="U127:W127" si="210">(((10870*(U63*0.85))+((225*(U63*0.85))+((100*(U63*0.85))+(U65*25)+(U125*0.015)+(U125*0.03)))))</f>
        <v>69794.099999999991</v>
      </c>
      <c r="V127" s="61">
        <f t="shared" si="210"/>
        <v>0</v>
      </c>
      <c r="W127" s="61">
        <f t="shared" si="210"/>
        <v>0</v>
      </c>
      <c r="X127" s="75">
        <f t="shared" ref="X127:X131" si="211">SUM(T127:W127)</f>
        <v>402651.88359999994</v>
      </c>
      <c r="Y127" s="194"/>
      <c r="Z127" s="61">
        <f>(((10870*(Z63*0.85))+((225*(Z63*0.85))+((100*(Z63*0.85))+(Z65*25)+(Z125*0.015)+(Z125*0.03)))))</f>
        <v>496649.81</v>
      </c>
      <c r="AA127" s="61">
        <f t="shared" ref="AA127:AC127" si="212">(((10870*(AA63*0.85))+((225*(AA63*0.85))+((100*(AA63*0.85))+(AA65*25)+(AA125*0.015)+(AA125*0.03)))))</f>
        <v>110230.12499999999</v>
      </c>
      <c r="AB127" s="61">
        <f>(((10870*(AB63*0.85))+((225*(AB63*0.85))+((100*(AB63*0.85))+(AB65*25)+(AB125*0.015)+(AB125*0.03)))))-50</f>
        <v>0</v>
      </c>
      <c r="AC127" s="61">
        <f t="shared" si="212"/>
        <v>0</v>
      </c>
      <c r="AD127" s="75">
        <f t="shared" ref="AD127:AD131" si="213">SUM(Z127:AC127)</f>
        <v>606879.93499999994</v>
      </c>
      <c r="AE127" s="194"/>
      <c r="AF127" s="61">
        <f>(((10870*(AF63*0.85))+((225*(AF63*0.85))+((100*(AF63*0.85))+(AF65*25)+(AF125*0.015)+(AF125*0.03)))))</f>
        <v>528091.4</v>
      </c>
      <c r="AG127" s="61">
        <f t="shared" ref="AG127" si="214">(((10870*(AG63*0.85))+((225*(AG63*0.85))+((100*(AG63*0.85))+(AG65*25)+(AG125*0.015)+(AG125*0.03)))))</f>
        <v>109765.49999999999</v>
      </c>
      <c r="AH127" s="61">
        <v>0</v>
      </c>
      <c r="AI127" s="61">
        <f t="shared" ref="AI127" si="215">(((9875*(AI63*0.85))+((215*(AI63*0.85))+((90*(AI63*0.85))+(AI65*15)+(AI125*0.015)+(AI125*0.03)))))</f>
        <v>0</v>
      </c>
      <c r="AJ127" s="75">
        <f t="shared" ref="AJ127:AJ131" si="216">SUM(AF127:AI127)</f>
        <v>637856.9</v>
      </c>
      <c r="AL127" s="63">
        <f>AL125*0.19</f>
        <v>8809.0735499999992</v>
      </c>
      <c r="AM127" s="63">
        <f t="shared" ref="AM127:AN127" si="217">AM125*0.19</f>
        <v>0</v>
      </c>
      <c r="AN127" s="63">
        <f t="shared" si="217"/>
        <v>0</v>
      </c>
      <c r="AO127" s="63">
        <f>AO125*0.15</f>
        <v>162750</v>
      </c>
      <c r="AP127" s="75">
        <f t="shared" ref="AP127:AP131" si="218">SUM(AL127:AO127)</f>
        <v>171559.07355</v>
      </c>
      <c r="AR127" s="75">
        <f t="shared" ref="AR127:AR131" si="219">B127+H127+N127+T127+AL127+AF127+Z127</f>
        <v>4399713.0372535</v>
      </c>
      <c r="AS127" s="75">
        <f t="shared" si="203"/>
        <v>862122.08750000002</v>
      </c>
      <c r="AT127" s="75">
        <f t="shared" si="203"/>
        <v>0</v>
      </c>
      <c r="AU127" s="75">
        <f t="shared" si="203"/>
        <v>162750</v>
      </c>
      <c r="AV127" s="75">
        <f t="shared" ref="AV127:AV131" si="220">SUM(AR127:AU127)</f>
        <v>5424585.1247535003</v>
      </c>
    </row>
    <row r="128" spans="1:48" x14ac:dyDescent="0.25">
      <c r="A128" s="21" t="s">
        <v>91</v>
      </c>
      <c r="B128" s="61">
        <f>((1250*B36)+((1500*(B41+B43))+(500*B50)+(1250*B59)))+(1000*8)</f>
        <v>76250</v>
      </c>
      <c r="C128" s="61">
        <f t="shared" ref="C128" si="221">((1250*C36)+((1500*(C41+C43))+(500*C50)+(1250*C59)))+(1000*5)</f>
        <v>13750</v>
      </c>
      <c r="D128" s="61">
        <f>((1250*D36)+((1500*(D41+D43))+(500*D50)+(1250*D59)))</f>
        <v>0</v>
      </c>
      <c r="E128" s="61">
        <f>((1250*E36)+((1500*(E41+E43))+(500*E50)+(1250*E59)))</f>
        <v>0</v>
      </c>
      <c r="F128" s="75">
        <f t="shared" si="205"/>
        <v>90000</v>
      </c>
      <c r="H128" s="61">
        <f>((1250*H36)+((1500*(H41+H43))+(500*H50)+(1250*H59)))+(1000*8)</f>
        <v>74250</v>
      </c>
      <c r="I128" s="61">
        <f t="shared" ref="I128" si="222">((1250*I36)+((1500*(I41+I43))+(500*I50)+(1250*I59)))+(1000*5)</f>
        <v>12750</v>
      </c>
      <c r="J128" s="61">
        <f>((1250*J36)+((1500*(J41+J43))+(500*J50)+(1250*J59)))</f>
        <v>0</v>
      </c>
      <c r="K128" s="61">
        <f>((1250*K36)+((1500*(K41+K43))+(500*K50)+(1250*K59)))</f>
        <v>0</v>
      </c>
      <c r="L128" s="75">
        <f t="shared" si="207"/>
        <v>87000</v>
      </c>
      <c r="N128" s="61">
        <f>((1250*N36)+((1500*(N41+N43))+(500*N50)+(1250*N59)))+(1000*8)</f>
        <v>151500</v>
      </c>
      <c r="O128" s="61">
        <f t="shared" ref="O128" si="223">((1250*O36)+((1500*(O41+O43))+(500*O50)+(1250*O59)))+(1000*5)</f>
        <v>29500</v>
      </c>
      <c r="P128" s="61">
        <f>((1250*P36)+((1500*(P41+P43))+(500*P50)+(1250*P59)))</f>
        <v>0</v>
      </c>
      <c r="Q128" s="61">
        <f>((1250*Q36)+((1500*(Q41+Q43))+(500*Q50)+(1250*Q59)))</f>
        <v>0</v>
      </c>
      <c r="R128" s="75">
        <f t="shared" si="209"/>
        <v>181000</v>
      </c>
      <c r="T128" s="61">
        <f>((1250*T36)+((1500*(T41+T43))+(500*T50)+(1250*T59)))+(1000*2)</f>
        <v>34000</v>
      </c>
      <c r="U128" s="61">
        <f>((1250*U36)+((1500*(U41+U43))+(500*U50)+(1250*U59)))+(1000*1)</f>
        <v>6250</v>
      </c>
      <c r="V128" s="61">
        <v>0</v>
      </c>
      <c r="W128" s="61">
        <v>0</v>
      </c>
      <c r="X128" s="75">
        <f t="shared" si="211"/>
        <v>40250</v>
      </c>
      <c r="Y128" s="194"/>
      <c r="Z128" s="61">
        <f>(((1250*Z36)+((1500*(Z41+Z43))+(500*Z50)+(1250*Z59)))+(1000*2))</f>
        <v>51250</v>
      </c>
      <c r="AA128" s="61">
        <f>(((1250*AA36)+((1500*(AA41+AA43))+(500*AA50)+(1250*AA59)))+(1000*1))</f>
        <v>9125</v>
      </c>
      <c r="AB128" s="61">
        <v>0</v>
      </c>
      <c r="AC128" s="61">
        <v>0</v>
      </c>
      <c r="AD128" s="75">
        <f t="shared" si="213"/>
        <v>60375</v>
      </c>
      <c r="AE128" s="194"/>
      <c r="AF128" s="61">
        <f>((1250*AF36)+((1500*(AF41+AF43))+(500*AF50)+(1250*AF59)))+(1000*8)</f>
        <v>59500</v>
      </c>
      <c r="AG128" s="61">
        <f t="shared" ref="AG128" si="224">((1250*AG36)+((1500*(AG41+AG43))+(500*AG50)+(1250*AG59)))+(1000*5)</f>
        <v>13125</v>
      </c>
      <c r="AH128" s="61">
        <v>0</v>
      </c>
      <c r="AI128" s="61">
        <f>((1250*AI36)+((1500*(AI41+AI43))+(500*AI50)+(1250*AI59)))</f>
        <v>0</v>
      </c>
      <c r="AJ128" s="75">
        <f t="shared" si="216"/>
        <v>72625</v>
      </c>
      <c r="AL128" s="61">
        <f>((1250*AL36)+((1500*(AL41+AL43))+(500*AL50)+(1250*AL59)))</f>
        <v>500</v>
      </c>
      <c r="AM128" s="61">
        <f>((1250*AM36)+((1500*(AM41+AM43))+(500*AM50)+(1250*AM59)))</f>
        <v>0</v>
      </c>
      <c r="AN128" s="61">
        <f>((1250*AN36)+((1500*(AN41+AN43))+(500*AN50)+(1250*AN59)))</f>
        <v>0</v>
      </c>
      <c r="AO128" s="61">
        <f>((1250*AO36)+((1500*(AO41+AO43))+(500*AO50)+(1250*AO59)))</f>
        <v>17500</v>
      </c>
      <c r="AP128" s="75">
        <f t="shared" si="218"/>
        <v>18000</v>
      </c>
      <c r="AR128" s="75">
        <f t="shared" si="219"/>
        <v>447250</v>
      </c>
      <c r="AS128" s="75">
        <f t="shared" si="203"/>
        <v>84500</v>
      </c>
      <c r="AT128" s="75">
        <f t="shared" si="203"/>
        <v>0</v>
      </c>
      <c r="AU128" s="75">
        <f t="shared" si="203"/>
        <v>17500</v>
      </c>
      <c r="AV128" s="75">
        <f t="shared" si="220"/>
        <v>549250</v>
      </c>
    </row>
    <row r="129" spans="1:48" x14ac:dyDescent="0.25">
      <c r="A129" s="21" t="s">
        <v>92</v>
      </c>
      <c r="B129" s="61">
        <f>250*B63</f>
        <v>14500</v>
      </c>
      <c r="C129" s="61">
        <f t="shared" ref="C129:D129" si="225">250*C63</f>
        <v>2500</v>
      </c>
      <c r="D129" s="61">
        <f t="shared" si="225"/>
        <v>0</v>
      </c>
      <c r="E129" s="61">
        <f>250*E63</f>
        <v>0</v>
      </c>
      <c r="F129" s="75">
        <f t="shared" si="205"/>
        <v>17000</v>
      </c>
      <c r="H129" s="61">
        <f>250*H63</f>
        <v>14375</v>
      </c>
      <c r="I129" s="61">
        <f t="shared" ref="I129:J129" si="226">250*I63</f>
        <v>2375</v>
      </c>
      <c r="J129" s="61">
        <f t="shared" si="226"/>
        <v>0</v>
      </c>
      <c r="K129" s="61">
        <f>250*K63</f>
        <v>0</v>
      </c>
      <c r="L129" s="75">
        <f t="shared" si="207"/>
        <v>16750</v>
      </c>
      <c r="N129" s="61">
        <f>250*N63</f>
        <v>29500</v>
      </c>
      <c r="O129" s="61">
        <f t="shared" ref="O129:P129" si="227">250*O63</f>
        <v>7000</v>
      </c>
      <c r="P129" s="61">
        <f t="shared" si="227"/>
        <v>0</v>
      </c>
      <c r="Q129" s="61">
        <f>250*Q63</f>
        <v>0</v>
      </c>
      <c r="R129" s="75">
        <f t="shared" si="209"/>
        <v>36500</v>
      </c>
      <c r="T129" s="61">
        <f>250*T63</f>
        <v>6875</v>
      </c>
      <c r="U129" s="61">
        <f t="shared" ref="U129:V129" si="228">250*U63</f>
        <v>1500</v>
      </c>
      <c r="V129" s="61">
        <f t="shared" si="228"/>
        <v>0</v>
      </c>
      <c r="W129" s="61">
        <f>250*W63</f>
        <v>0</v>
      </c>
      <c r="X129" s="75">
        <f t="shared" si="211"/>
        <v>8375</v>
      </c>
      <c r="Y129" s="194"/>
      <c r="Z129" s="61">
        <f>250*Z63</f>
        <v>10250</v>
      </c>
      <c r="AA129" s="61">
        <f t="shared" ref="AA129:AB129" si="229">250*AA63</f>
        <v>2375</v>
      </c>
      <c r="AB129" s="61">
        <f t="shared" si="229"/>
        <v>0</v>
      </c>
      <c r="AC129" s="61">
        <f>250*AC63</f>
        <v>0</v>
      </c>
      <c r="AD129" s="75">
        <f t="shared" si="213"/>
        <v>12625</v>
      </c>
      <c r="AE129" s="194"/>
      <c r="AF129" s="61">
        <f>250*AF63</f>
        <v>11000</v>
      </c>
      <c r="AG129" s="61">
        <f t="shared" ref="AG129" si="230">250*AG63</f>
        <v>2375</v>
      </c>
      <c r="AH129" s="61">
        <v>0</v>
      </c>
      <c r="AI129" s="61">
        <f>250*AI63</f>
        <v>0</v>
      </c>
      <c r="AJ129" s="75">
        <f t="shared" si="216"/>
        <v>13375</v>
      </c>
      <c r="AL129" s="61">
        <f>250*AL63</f>
        <v>250</v>
      </c>
      <c r="AM129" s="61">
        <f t="shared" ref="AM129:AN129" si="231">250*AM63</f>
        <v>0</v>
      </c>
      <c r="AN129" s="61">
        <f t="shared" si="231"/>
        <v>0</v>
      </c>
      <c r="AO129" s="61">
        <f>250*AO63</f>
        <v>6250</v>
      </c>
      <c r="AP129" s="75">
        <f t="shared" si="218"/>
        <v>6500</v>
      </c>
      <c r="AR129" s="75">
        <f t="shared" si="219"/>
        <v>86750</v>
      </c>
      <c r="AS129" s="75">
        <f t="shared" si="203"/>
        <v>18125</v>
      </c>
      <c r="AT129" s="75">
        <f t="shared" si="203"/>
        <v>0</v>
      </c>
      <c r="AU129" s="75">
        <f t="shared" si="203"/>
        <v>6250</v>
      </c>
      <c r="AV129" s="75">
        <f t="shared" si="220"/>
        <v>111125</v>
      </c>
    </row>
    <row r="130" spans="1:48" x14ac:dyDescent="0.25">
      <c r="A130" s="21" t="s">
        <v>98</v>
      </c>
      <c r="B130" s="63">
        <v>125000</v>
      </c>
      <c r="C130" s="63"/>
      <c r="D130" s="63"/>
      <c r="E130" s="63"/>
      <c r="F130" s="75">
        <f t="shared" si="205"/>
        <v>125000</v>
      </c>
      <c r="H130" s="63">
        <v>50000</v>
      </c>
      <c r="I130" s="63"/>
      <c r="J130" s="63"/>
      <c r="K130" s="63"/>
      <c r="L130" s="75">
        <f t="shared" si="207"/>
        <v>50000</v>
      </c>
      <c r="N130" s="63">
        <v>20000</v>
      </c>
      <c r="O130" s="63"/>
      <c r="P130" s="63"/>
      <c r="Q130" s="63"/>
      <c r="R130" s="75">
        <f t="shared" si="209"/>
        <v>20000</v>
      </c>
      <c r="T130" s="63">
        <v>0</v>
      </c>
      <c r="U130" s="63"/>
      <c r="V130" s="63"/>
      <c r="W130" s="63"/>
      <c r="X130" s="75">
        <f t="shared" si="211"/>
        <v>0</v>
      </c>
      <c r="Y130" s="194"/>
      <c r="Z130" s="63">
        <v>0</v>
      </c>
      <c r="AA130" s="63"/>
      <c r="AB130" s="63"/>
      <c r="AC130" s="63"/>
      <c r="AD130" s="75">
        <f t="shared" si="213"/>
        <v>0</v>
      </c>
      <c r="AE130" s="194"/>
      <c r="AF130" s="63"/>
      <c r="AG130" s="63"/>
      <c r="AH130" s="63"/>
      <c r="AI130" s="63"/>
      <c r="AJ130" s="75">
        <f t="shared" si="216"/>
        <v>0</v>
      </c>
      <c r="AL130" s="63"/>
      <c r="AM130" s="63"/>
      <c r="AN130" s="63"/>
      <c r="AO130" s="63"/>
      <c r="AP130" s="75">
        <f t="shared" si="218"/>
        <v>0</v>
      </c>
      <c r="AR130" s="75">
        <f t="shared" si="219"/>
        <v>195000</v>
      </c>
      <c r="AS130" s="75">
        <f t="shared" si="203"/>
        <v>0</v>
      </c>
      <c r="AT130" s="75">
        <f t="shared" si="203"/>
        <v>0</v>
      </c>
      <c r="AU130" s="75">
        <f t="shared" si="203"/>
        <v>0</v>
      </c>
      <c r="AV130" s="75">
        <f t="shared" si="220"/>
        <v>195000</v>
      </c>
    </row>
    <row r="131" spans="1:48" x14ac:dyDescent="0.25">
      <c r="A131" s="22" t="s">
        <v>94</v>
      </c>
      <c r="B131" s="64">
        <v>8500</v>
      </c>
      <c r="C131" s="64"/>
      <c r="D131" s="64"/>
      <c r="E131" s="64"/>
      <c r="F131" s="75">
        <f t="shared" si="205"/>
        <v>8500</v>
      </c>
      <c r="H131" s="64">
        <v>8500</v>
      </c>
      <c r="I131" s="64"/>
      <c r="J131" s="64"/>
      <c r="K131" s="64"/>
      <c r="L131" s="75">
        <f t="shared" si="207"/>
        <v>8500</v>
      </c>
      <c r="N131" s="64">
        <v>25000</v>
      </c>
      <c r="O131" s="64"/>
      <c r="P131" s="64"/>
      <c r="Q131" s="64"/>
      <c r="R131" s="75">
        <f t="shared" si="209"/>
        <v>25000</v>
      </c>
      <c r="T131" s="64">
        <v>8000</v>
      </c>
      <c r="U131" s="64"/>
      <c r="V131" s="64"/>
      <c r="W131" s="64"/>
      <c r="X131" s="75">
        <f t="shared" si="211"/>
        <v>8000</v>
      </c>
      <c r="Y131" s="194"/>
      <c r="Z131" s="64">
        <v>8000</v>
      </c>
      <c r="AA131" s="64"/>
      <c r="AB131" s="64"/>
      <c r="AC131" s="64"/>
      <c r="AD131" s="75">
        <f t="shared" si="213"/>
        <v>8000</v>
      </c>
      <c r="AE131" s="194"/>
      <c r="AF131" s="64">
        <v>12500</v>
      </c>
      <c r="AG131" s="64"/>
      <c r="AH131" s="64"/>
      <c r="AI131" s="64"/>
      <c r="AJ131" s="75">
        <f t="shared" si="216"/>
        <v>12500</v>
      </c>
      <c r="AL131" s="64"/>
      <c r="AM131" s="64"/>
      <c r="AN131" s="64"/>
      <c r="AO131" s="64"/>
      <c r="AP131" s="75">
        <f t="shared" si="218"/>
        <v>0</v>
      </c>
      <c r="AR131" s="75">
        <f t="shared" si="219"/>
        <v>70500</v>
      </c>
      <c r="AS131" s="75">
        <f t="shared" si="203"/>
        <v>0</v>
      </c>
      <c r="AT131" s="75">
        <f t="shared" si="203"/>
        <v>0</v>
      </c>
      <c r="AU131" s="75">
        <f t="shared" si="203"/>
        <v>0</v>
      </c>
      <c r="AV131" s="75">
        <f t="shared" si="220"/>
        <v>70500</v>
      </c>
    </row>
    <row r="132" spans="1:48" x14ac:dyDescent="0.25">
      <c r="A132" s="27"/>
      <c r="B132" s="76">
        <f>SUM(B126:B131)</f>
        <v>2415560.4057612498</v>
      </c>
      <c r="C132" s="76">
        <f t="shared" ref="C132:F132" si="232">SUM(C126:C131)</f>
        <v>330297.75</v>
      </c>
      <c r="D132" s="76">
        <f t="shared" si="232"/>
        <v>0</v>
      </c>
      <c r="E132" s="76">
        <f t="shared" si="232"/>
        <v>0</v>
      </c>
      <c r="F132" s="76">
        <f t="shared" si="232"/>
        <v>2745858.1557612498</v>
      </c>
      <c r="H132" s="76">
        <f>SUM(H126:H131)</f>
        <v>2263349.9930143752</v>
      </c>
      <c r="I132" s="76">
        <f t="shared" ref="I132:L132" si="233">SUM(I126:I131)</f>
        <v>298677.71250000002</v>
      </c>
      <c r="J132" s="76">
        <f t="shared" si="233"/>
        <v>0</v>
      </c>
      <c r="K132" s="76">
        <f t="shared" si="233"/>
        <v>0</v>
      </c>
      <c r="L132" s="76">
        <f t="shared" si="233"/>
        <v>2562027.7055143751</v>
      </c>
      <c r="N132" s="76">
        <f>SUM(N126:N131)</f>
        <v>4738259.5984576251</v>
      </c>
      <c r="O132" s="76">
        <f t="shared" ref="O132:R132" si="234">SUM(O126:O131)</f>
        <v>906756.2</v>
      </c>
      <c r="P132" s="76">
        <f t="shared" si="234"/>
        <v>0</v>
      </c>
      <c r="Q132" s="76">
        <f t="shared" si="234"/>
        <v>0</v>
      </c>
      <c r="R132" s="76">
        <f t="shared" si="234"/>
        <v>5645015.7984576244</v>
      </c>
      <c r="T132" s="76">
        <f>SUM(T126:T131)</f>
        <v>980023.63170000003</v>
      </c>
      <c r="U132" s="76">
        <f t="shared" ref="U132:X132" si="235">SUM(U126:U131)</f>
        <v>184215.7</v>
      </c>
      <c r="V132" s="76">
        <f t="shared" si="235"/>
        <v>0</v>
      </c>
      <c r="W132" s="76">
        <f t="shared" si="235"/>
        <v>0</v>
      </c>
      <c r="X132" s="76">
        <f t="shared" si="235"/>
        <v>1164239.3317</v>
      </c>
      <c r="Y132" s="199"/>
      <c r="Z132" s="76">
        <f>SUM(Z126:Z131)</f>
        <v>1460384.32</v>
      </c>
      <c r="AA132" s="76">
        <f t="shared" ref="AA132:AD132" si="236">SUM(AA126:AA131)</f>
        <v>288270.625</v>
      </c>
      <c r="AB132" s="76">
        <f t="shared" si="236"/>
        <v>0</v>
      </c>
      <c r="AC132" s="76">
        <f t="shared" si="236"/>
        <v>0</v>
      </c>
      <c r="AD132" s="76">
        <f t="shared" si="236"/>
        <v>1748654.9449999998</v>
      </c>
      <c r="AE132" s="199"/>
      <c r="AF132" s="76">
        <f>SUM(AF126:AF131)</f>
        <v>1529290.3</v>
      </c>
      <c r="AG132" s="76">
        <f t="shared" ref="AG132:AJ132" si="237">SUM(AG126:AG131)</f>
        <v>287856.6875</v>
      </c>
      <c r="AH132" s="76">
        <f t="shared" si="237"/>
        <v>0</v>
      </c>
      <c r="AI132" s="76">
        <f t="shared" si="237"/>
        <v>0</v>
      </c>
      <c r="AJ132" s="76">
        <f t="shared" si="237"/>
        <v>1817146.9874999998</v>
      </c>
      <c r="AL132" s="76">
        <f>SUM(AL126:AL131)</f>
        <v>27293.129512499996</v>
      </c>
      <c r="AM132" s="76">
        <f t="shared" ref="AM132:AP132" si="238">SUM(AM126:AM131)</f>
        <v>0</v>
      </c>
      <c r="AN132" s="76">
        <f t="shared" si="238"/>
        <v>0</v>
      </c>
      <c r="AO132" s="76">
        <f t="shared" si="238"/>
        <v>585237.5</v>
      </c>
      <c r="AP132" s="76">
        <f t="shared" si="238"/>
        <v>612530.62951250002</v>
      </c>
      <c r="AR132" s="76">
        <f>SUM(AR126:AR131)</f>
        <v>13414161.37844575</v>
      </c>
      <c r="AS132" s="76">
        <f t="shared" ref="AS132:AV132" si="239">SUM(AS126:AS131)</f>
        <v>2296074.6749999998</v>
      </c>
      <c r="AT132" s="76">
        <f t="shared" si="239"/>
        <v>0</v>
      </c>
      <c r="AU132" s="76">
        <f t="shared" si="239"/>
        <v>585237.5</v>
      </c>
      <c r="AV132" s="76">
        <f t="shared" si="239"/>
        <v>16295473.553445749</v>
      </c>
    </row>
    <row r="133" spans="1:48" x14ac:dyDescent="0.25">
      <c r="B133" s="79"/>
      <c r="C133" s="79"/>
      <c r="D133" s="79"/>
      <c r="E133" s="79"/>
      <c r="F133" s="79"/>
      <c r="H133" s="79"/>
      <c r="I133" s="79"/>
      <c r="J133" s="79"/>
      <c r="K133" s="79"/>
      <c r="L133" s="79"/>
      <c r="N133" s="79"/>
      <c r="O133" s="79"/>
      <c r="P133" s="79"/>
      <c r="Q133" s="79"/>
      <c r="R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L133" s="79"/>
      <c r="AM133" s="79"/>
      <c r="AN133" s="79"/>
      <c r="AO133" s="79"/>
      <c r="AP133" s="79"/>
      <c r="AR133" s="79"/>
      <c r="AS133" s="79"/>
      <c r="AT133" s="79"/>
      <c r="AU133" s="79"/>
      <c r="AV133" s="79"/>
    </row>
    <row r="134" spans="1:48" x14ac:dyDescent="0.25">
      <c r="A134" s="28"/>
      <c r="B134" s="78" t="s">
        <v>157</v>
      </c>
      <c r="C134" s="78" t="s">
        <v>158</v>
      </c>
      <c r="D134" s="78" t="s">
        <v>159</v>
      </c>
      <c r="E134" s="78" t="str">
        <f>E118</f>
        <v>Other</v>
      </c>
      <c r="F134" s="78" t="str">
        <f>F118</f>
        <v>FY29- Mtn</v>
      </c>
      <c r="H134" s="78" t="s">
        <v>157</v>
      </c>
      <c r="I134" s="78" t="s">
        <v>158</v>
      </c>
      <c r="J134" s="78" t="s">
        <v>159</v>
      </c>
      <c r="K134" s="78" t="str">
        <f>K118</f>
        <v>Other</v>
      </c>
      <c r="L134" s="78" t="str">
        <f>L118</f>
        <v>FY29- Bon</v>
      </c>
      <c r="N134" s="78" t="s">
        <v>157</v>
      </c>
      <c r="O134" s="78" t="s">
        <v>158</v>
      </c>
      <c r="P134" s="78" t="s">
        <v>159</v>
      </c>
      <c r="Q134" s="78" t="str">
        <f>Q118</f>
        <v>Other</v>
      </c>
      <c r="R134" s="78" t="str">
        <f>R118</f>
        <v>FY29- East</v>
      </c>
      <c r="T134" s="78" t="s">
        <v>157</v>
      </c>
      <c r="U134" s="78" t="s">
        <v>158</v>
      </c>
      <c r="V134" s="78" t="s">
        <v>159</v>
      </c>
      <c r="W134" s="78" t="str">
        <f>W118</f>
        <v>Other</v>
      </c>
      <c r="X134" s="78" t="str">
        <f>X118</f>
        <v>FY29- Cactus</v>
      </c>
      <c r="Y134" s="201"/>
      <c r="Z134" s="78" t="s">
        <v>157</v>
      </c>
      <c r="AA134" s="78" t="s">
        <v>158</v>
      </c>
      <c r="AB134" s="78" t="s">
        <v>159</v>
      </c>
      <c r="AC134" s="78" t="str">
        <f>AC118</f>
        <v>Other</v>
      </c>
      <c r="AD134" s="78" t="str">
        <f>AD118</f>
        <v>FY29- Sahara</v>
      </c>
      <c r="AE134" s="201"/>
      <c r="AF134" s="78" t="s">
        <v>157</v>
      </c>
      <c r="AG134" s="78" t="s">
        <v>158</v>
      </c>
      <c r="AH134" s="78" t="s">
        <v>159</v>
      </c>
      <c r="AI134" s="78" t="str">
        <f>AI118</f>
        <v>Other</v>
      </c>
      <c r="AJ134" s="78" t="str">
        <f>AJ118</f>
        <v>FY29- VV</v>
      </c>
      <c r="AL134" s="78" t="s">
        <v>157</v>
      </c>
      <c r="AM134" s="78" t="s">
        <v>158</v>
      </c>
      <c r="AN134" s="78" t="s">
        <v>159</v>
      </c>
      <c r="AO134" s="78" t="str">
        <f>AO118</f>
        <v>Grant</v>
      </c>
      <c r="AP134" s="78" t="str">
        <f>AP118</f>
        <v>FY29 - Central</v>
      </c>
      <c r="AR134" s="78" t="s">
        <v>157</v>
      </c>
      <c r="AS134" s="78" t="s">
        <v>158</v>
      </c>
      <c r="AT134" s="78" t="s">
        <v>159</v>
      </c>
      <c r="AU134" s="78" t="str">
        <f>AU118</f>
        <v>Other</v>
      </c>
      <c r="AV134" s="78" t="str">
        <f>AV118</f>
        <v>FY29- Sys</v>
      </c>
    </row>
    <row r="135" spans="1:48" x14ac:dyDescent="0.25">
      <c r="A135" s="30" t="s">
        <v>99</v>
      </c>
      <c r="B135" s="75">
        <f>(250*1050)</f>
        <v>262500</v>
      </c>
      <c r="C135" s="75"/>
      <c r="D135" s="75"/>
      <c r="E135" s="75"/>
      <c r="F135" s="75">
        <f>SUM(B135:E135)</f>
        <v>262500</v>
      </c>
      <c r="H135" s="75">
        <f>(250*1050)</f>
        <v>262500</v>
      </c>
      <c r="I135" s="75"/>
      <c r="J135" s="75"/>
      <c r="K135" s="75"/>
      <c r="L135" s="75">
        <f>SUM(H135:K135)</f>
        <v>262500</v>
      </c>
      <c r="N135" s="75">
        <f>(250*2550)</f>
        <v>637500</v>
      </c>
      <c r="O135" s="75"/>
      <c r="P135" s="75"/>
      <c r="Q135" s="75"/>
      <c r="R135" s="75">
        <f>SUM(N135:Q135)</f>
        <v>637500</v>
      </c>
      <c r="T135" s="75">
        <f>(255*500)</f>
        <v>127500</v>
      </c>
      <c r="U135" s="75"/>
      <c r="V135" s="75"/>
      <c r="W135" s="75"/>
      <c r="X135" s="75">
        <f>SUM(T135:W135)</f>
        <v>127500</v>
      </c>
      <c r="Y135" s="194"/>
      <c r="Z135" s="75">
        <f>(250*Z17)</f>
        <v>220750</v>
      </c>
      <c r="AA135" s="75"/>
      <c r="AB135" s="75"/>
      <c r="AC135" s="75"/>
      <c r="AD135" s="75">
        <f>SUM(Z135:AC135)</f>
        <v>220750</v>
      </c>
      <c r="AE135" s="194"/>
      <c r="AF135" s="75">
        <f>(245*1050)</f>
        <v>257250</v>
      </c>
      <c r="AG135" s="75"/>
      <c r="AH135" s="75"/>
      <c r="AI135" s="75"/>
      <c r="AJ135" s="75">
        <f>SUM(AF135:AI135)</f>
        <v>257250</v>
      </c>
      <c r="AL135" s="75"/>
      <c r="AM135" s="75"/>
      <c r="AN135" s="75"/>
      <c r="AO135" s="75"/>
      <c r="AP135" s="75">
        <f>SUM(AL135:AO135)</f>
        <v>0</v>
      </c>
      <c r="AR135" s="75">
        <f>B135+H135+N135+T135+AL135+AF135+Z135</f>
        <v>1768000</v>
      </c>
      <c r="AS135" s="75">
        <f t="shared" ref="AS135:AU140" si="240">C135+I135+O135+U135+AM135+AG135+AA135</f>
        <v>0</v>
      </c>
      <c r="AT135" s="75">
        <f t="shared" si="240"/>
        <v>0</v>
      </c>
      <c r="AU135" s="75">
        <f t="shared" si="240"/>
        <v>0</v>
      </c>
      <c r="AV135" s="75">
        <f>SUM(AR135:AU135)</f>
        <v>1768000</v>
      </c>
    </row>
    <row r="136" spans="1:48" x14ac:dyDescent="0.25">
      <c r="A136" s="31" t="s">
        <v>100</v>
      </c>
      <c r="B136" s="63"/>
      <c r="C136" s="63"/>
      <c r="D136" s="63"/>
      <c r="E136" s="63"/>
      <c r="F136" s="75">
        <f t="shared" ref="F136:F140" si="241">SUM(B136:E136)</f>
        <v>0</v>
      </c>
      <c r="H136" s="63"/>
      <c r="I136" s="63"/>
      <c r="J136" s="63"/>
      <c r="K136" s="63"/>
      <c r="L136" s="75">
        <f t="shared" ref="L136:L140" si="242">SUM(H136:K136)</f>
        <v>0</v>
      </c>
      <c r="N136" s="63">
        <v>305000</v>
      </c>
      <c r="O136" s="63"/>
      <c r="P136" s="63"/>
      <c r="Q136" s="63"/>
      <c r="R136" s="75">
        <f t="shared" ref="R136:R140" si="243">SUM(N136:Q136)</f>
        <v>305000</v>
      </c>
      <c r="T136" s="63"/>
      <c r="U136" s="63"/>
      <c r="V136" s="63"/>
      <c r="W136" s="63"/>
      <c r="X136" s="75">
        <f t="shared" ref="X136:X140" si="244">SUM(T136:W136)</f>
        <v>0</v>
      </c>
      <c r="Y136" s="194"/>
      <c r="Z136" s="63"/>
      <c r="AA136" s="63"/>
      <c r="AB136" s="63"/>
      <c r="AC136" s="63"/>
      <c r="AD136" s="75">
        <f t="shared" ref="AD136:AD140" si="245">SUM(Z136:AC136)</f>
        <v>0</v>
      </c>
      <c r="AE136" s="194"/>
      <c r="AF136" s="63"/>
      <c r="AG136" s="63"/>
      <c r="AH136" s="63"/>
      <c r="AI136" s="63"/>
      <c r="AJ136" s="75">
        <f t="shared" ref="AJ136:AJ140" si="246">SUM(AF136:AI136)</f>
        <v>0</v>
      </c>
      <c r="AL136" s="63"/>
      <c r="AM136" s="63"/>
      <c r="AN136" s="63"/>
      <c r="AO136" s="63"/>
      <c r="AP136" s="75">
        <f t="shared" ref="AP136:AP140" si="247">SUM(AL136:AO136)</f>
        <v>0</v>
      </c>
      <c r="AR136" s="75">
        <f t="shared" ref="AR136:AR140" si="248">B136+H136+N136+T136+AL136+AF136+Z136</f>
        <v>305000</v>
      </c>
      <c r="AS136" s="75">
        <f t="shared" si="240"/>
        <v>0</v>
      </c>
      <c r="AT136" s="75">
        <f t="shared" si="240"/>
        <v>0</v>
      </c>
      <c r="AU136" s="75">
        <f t="shared" si="240"/>
        <v>0</v>
      </c>
      <c r="AV136" s="75">
        <f t="shared" ref="AV136:AV140" si="249">SUM(AR136:AU136)</f>
        <v>305000</v>
      </c>
    </row>
    <row r="137" spans="1:48" x14ac:dyDescent="0.25">
      <c r="A137" s="32" t="s">
        <v>101</v>
      </c>
      <c r="B137" s="63"/>
      <c r="C137" s="63"/>
      <c r="D137" s="63"/>
      <c r="E137" s="63"/>
      <c r="F137" s="75">
        <f t="shared" si="241"/>
        <v>0</v>
      </c>
      <c r="H137" s="63"/>
      <c r="I137" s="63"/>
      <c r="J137" s="63"/>
      <c r="K137" s="63"/>
      <c r="L137" s="75">
        <f t="shared" si="242"/>
        <v>0</v>
      </c>
      <c r="N137" s="63">
        <v>50000</v>
      </c>
      <c r="O137" s="63"/>
      <c r="P137" s="63"/>
      <c r="Q137" s="63"/>
      <c r="R137" s="75">
        <f t="shared" si="243"/>
        <v>50000</v>
      </c>
      <c r="T137" s="63"/>
      <c r="U137" s="63"/>
      <c r="V137" s="63"/>
      <c r="W137" s="63"/>
      <c r="X137" s="75">
        <f t="shared" si="244"/>
        <v>0</v>
      </c>
      <c r="Y137" s="194"/>
      <c r="Z137" s="63"/>
      <c r="AA137" s="63"/>
      <c r="AB137" s="63"/>
      <c r="AC137" s="63"/>
      <c r="AD137" s="75">
        <f t="shared" si="245"/>
        <v>0</v>
      </c>
      <c r="AE137" s="194"/>
      <c r="AF137" s="63">
        <v>200000</v>
      </c>
      <c r="AG137" s="63"/>
      <c r="AH137" s="63"/>
      <c r="AI137" s="63"/>
      <c r="AJ137" s="75">
        <f t="shared" si="246"/>
        <v>200000</v>
      </c>
      <c r="AL137" s="63"/>
      <c r="AM137" s="63"/>
      <c r="AN137" s="63"/>
      <c r="AO137" s="63"/>
      <c r="AP137" s="75">
        <f t="shared" si="247"/>
        <v>0</v>
      </c>
      <c r="AR137" s="75">
        <f t="shared" si="248"/>
        <v>250000</v>
      </c>
      <c r="AS137" s="75">
        <f t="shared" si="240"/>
        <v>0</v>
      </c>
      <c r="AT137" s="75">
        <f t="shared" si="240"/>
        <v>0</v>
      </c>
      <c r="AU137" s="75">
        <f t="shared" si="240"/>
        <v>0</v>
      </c>
      <c r="AV137" s="75">
        <f t="shared" si="249"/>
        <v>250000</v>
      </c>
    </row>
    <row r="138" spans="1:48" x14ac:dyDescent="0.25">
      <c r="A138" s="32" t="s">
        <v>102</v>
      </c>
      <c r="B138" s="63">
        <f>38*B17</f>
        <v>39064</v>
      </c>
      <c r="C138" s="63"/>
      <c r="D138" s="63"/>
      <c r="E138" s="63"/>
      <c r="F138" s="75">
        <f t="shared" si="241"/>
        <v>39064</v>
      </c>
      <c r="H138" s="63">
        <f>38*H17</f>
        <v>39064</v>
      </c>
      <c r="I138" s="63"/>
      <c r="J138" s="63"/>
      <c r="K138" s="63"/>
      <c r="L138" s="75">
        <f t="shared" si="242"/>
        <v>39064</v>
      </c>
      <c r="N138" s="63">
        <f>38*N17</f>
        <v>95418</v>
      </c>
      <c r="O138" s="63"/>
      <c r="P138" s="63"/>
      <c r="Q138" s="63"/>
      <c r="R138" s="75">
        <f t="shared" si="243"/>
        <v>95418</v>
      </c>
      <c r="T138" s="63">
        <f>41*T17</f>
        <v>22017</v>
      </c>
      <c r="U138" s="63"/>
      <c r="V138" s="63"/>
      <c r="W138" s="63"/>
      <c r="X138" s="75">
        <f t="shared" si="244"/>
        <v>22017</v>
      </c>
      <c r="Y138" s="194"/>
      <c r="Z138" s="63">
        <f>38*Z17</f>
        <v>33554</v>
      </c>
      <c r="AA138" s="63"/>
      <c r="AB138" s="63"/>
      <c r="AC138" s="63"/>
      <c r="AD138" s="75">
        <f t="shared" si="245"/>
        <v>33554</v>
      </c>
      <c r="AE138" s="194"/>
      <c r="AF138" s="63">
        <f>37*AF17</f>
        <v>34373</v>
      </c>
      <c r="AG138" s="63"/>
      <c r="AH138" s="63"/>
      <c r="AI138" s="63"/>
      <c r="AJ138" s="75">
        <f t="shared" si="246"/>
        <v>34373</v>
      </c>
      <c r="AL138" s="63">
        <f>35*AL17</f>
        <v>0</v>
      </c>
      <c r="AM138" s="63"/>
      <c r="AN138" s="63"/>
      <c r="AO138" s="63"/>
      <c r="AP138" s="75">
        <f t="shared" si="247"/>
        <v>0</v>
      </c>
      <c r="AR138" s="75">
        <f t="shared" si="248"/>
        <v>263490</v>
      </c>
      <c r="AS138" s="75">
        <f t="shared" si="240"/>
        <v>0</v>
      </c>
      <c r="AT138" s="75">
        <f t="shared" si="240"/>
        <v>0</v>
      </c>
      <c r="AU138" s="75">
        <f t="shared" si="240"/>
        <v>0</v>
      </c>
      <c r="AV138" s="75">
        <f t="shared" si="249"/>
        <v>263490</v>
      </c>
    </row>
    <row r="139" spans="1:48" x14ac:dyDescent="0.25">
      <c r="A139" s="32" t="s">
        <v>103</v>
      </c>
      <c r="B139" s="63">
        <f>(25*B17)</f>
        <v>25700</v>
      </c>
      <c r="C139" s="63"/>
      <c r="D139" s="63"/>
      <c r="E139" s="63"/>
      <c r="F139" s="75">
        <f t="shared" si="241"/>
        <v>25700</v>
      </c>
      <c r="H139" s="63">
        <f>(25*H17)</f>
        <v>25700</v>
      </c>
      <c r="I139" s="63"/>
      <c r="J139" s="63"/>
      <c r="K139" s="63"/>
      <c r="L139" s="75">
        <f t="shared" si="242"/>
        <v>25700</v>
      </c>
      <c r="N139" s="63">
        <f>(25*N17)</f>
        <v>62775</v>
      </c>
      <c r="O139" s="63"/>
      <c r="P139" s="63"/>
      <c r="Q139" s="63"/>
      <c r="R139" s="75">
        <f t="shared" si="243"/>
        <v>62775</v>
      </c>
      <c r="T139" s="63">
        <f>(28*T17)</f>
        <v>15036</v>
      </c>
      <c r="U139" s="63"/>
      <c r="V139" s="63"/>
      <c r="W139" s="63"/>
      <c r="X139" s="75">
        <f t="shared" si="244"/>
        <v>15036</v>
      </c>
      <c r="Y139" s="194"/>
      <c r="Z139" s="63">
        <f>(25*Z17)</f>
        <v>22075</v>
      </c>
      <c r="AA139" s="63"/>
      <c r="AB139" s="63"/>
      <c r="AC139" s="63"/>
      <c r="AD139" s="75">
        <f t="shared" si="245"/>
        <v>22075</v>
      </c>
      <c r="AE139" s="194"/>
      <c r="AF139" s="63">
        <f>(24*AF17)</f>
        <v>22296</v>
      </c>
      <c r="AG139" s="63"/>
      <c r="AH139" s="63"/>
      <c r="AI139" s="63"/>
      <c r="AJ139" s="75">
        <f t="shared" si="246"/>
        <v>22296</v>
      </c>
      <c r="AL139" s="63">
        <f>(22*AL17)</f>
        <v>0</v>
      </c>
      <c r="AM139" s="63"/>
      <c r="AN139" s="63"/>
      <c r="AO139" s="63"/>
      <c r="AP139" s="75">
        <f t="shared" si="247"/>
        <v>0</v>
      </c>
      <c r="AR139" s="75">
        <f t="shared" si="248"/>
        <v>173582</v>
      </c>
      <c r="AS139" s="75">
        <f t="shared" si="240"/>
        <v>0</v>
      </c>
      <c r="AT139" s="75">
        <f t="shared" si="240"/>
        <v>0</v>
      </c>
      <c r="AU139" s="75">
        <f t="shared" si="240"/>
        <v>0</v>
      </c>
      <c r="AV139" s="75">
        <f t="shared" si="249"/>
        <v>173582</v>
      </c>
    </row>
    <row r="140" spans="1:48" x14ac:dyDescent="0.25">
      <c r="A140" s="33" t="s">
        <v>104</v>
      </c>
      <c r="B140" s="64"/>
      <c r="C140" s="64">
        <f>190*C21</f>
        <v>19950</v>
      </c>
      <c r="D140" s="64"/>
      <c r="E140" s="64"/>
      <c r="F140" s="75">
        <f t="shared" si="241"/>
        <v>19950</v>
      </c>
      <c r="H140" s="64"/>
      <c r="I140" s="64">
        <f>190*I21</f>
        <v>19950</v>
      </c>
      <c r="J140" s="64"/>
      <c r="K140" s="64"/>
      <c r="L140" s="75">
        <f t="shared" si="242"/>
        <v>19950</v>
      </c>
      <c r="N140" s="64"/>
      <c r="O140" s="64">
        <f>190*O21</f>
        <v>51300</v>
      </c>
      <c r="P140" s="64"/>
      <c r="Q140" s="64"/>
      <c r="R140" s="75">
        <f t="shared" si="243"/>
        <v>51300</v>
      </c>
      <c r="T140" s="64"/>
      <c r="U140" s="64">
        <f>220*U21</f>
        <v>13200</v>
      </c>
      <c r="V140" s="64"/>
      <c r="W140" s="64"/>
      <c r="X140" s="75">
        <f t="shared" si="244"/>
        <v>13200</v>
      </c>
      <c r="Y140" s="194"/>
      <c r="Z140" s="64"/>
      <c r="AA140" s="64">
        <f>190*AA21</f>
        <v>13680</v>
      </c>
      <c r="AB140" s="64"/>
      <c r="AC140" s="64"/>
      <c r="AD140" s="75">
        <f t="shared" si="245"/>
        <v>13680</v>
      </c>
      <c r="AE140" s="194"/>
      <c r="AF140" s="64"/>
      <c r="AG140" s="64">
        <f>200*AG21</f>
        <v>19000</v>
      </c>
      <c r="AH140" s="64"/>
      <c r="AI140" s="64"/>
      <c r="AJ140" s="75">
        <f t="shared" si="246"/>
        <v>19000</v>
      </c>
      <c r="AL140" s="64"/>
      <c r="AM140" s="64">
        <f>175*AM21</f>
        <v>0</v>
      </c>
      <c r="AN140" s="64"/>
      <c r="AO140" s="64"/>
      <c r="AP140" s="75">
        <f t="shared" si="247"/>
        <v>0</v>
      </c>
      <c r="AR140" s="75">
        <f t="shared" si="248"/>
        <v>0</v>
      </c>
      <c r="AS140" s="75">
        <f t="shared" si="240"/>
        <v>137080</v>
      </c>
      <c r="AT140" s="75">
        <f t="shared" si="240"/>
        <v>0</v>
      </c>
      <c r="AU140" s="75">
        <f t="shared" si="240"/>
        <v>0</v>
      </c>
      <c r="AV140" s="75">
        <f t="shared" si="249"/>
        <v>137080</v>
      </c>
    </row>
    <row r="141" spans="1:48" x14ac:dyDescent="0.25">
      <c r="A141" s="34"/>
      <c r="B141" s="76">
        <f>SUM(B135:B140)</f>
        <v>327264</v>
      </c>
      <c r="C141" s="76">
        <f t="shared" ref="C141:F141" si="250">SUM(C135:C140)</f>
        <v>19950</v>
      </c>
      <c r="D141" s="76">
        <f t="shared" si="250"/>
        <v>0</v>
      </c>
      <c r="E141" s="76">
        <f t="shared" si="250"/>
        <v>0</v>
      </c>
      <c r="F141" s="76">
        <f t="shared" si="250"/>
        <v>347214</v>
      </c>
      <c r="H141" s="76">
        <f>SUM(H135:H140)</f>
        <v>327264</v>
      </c>
      <c r="I141" s="76">
        <f t="shared" ref="I141:L141" si="251">SUM(I135:I140)</f>
        <v>19950</v>
      </c>
      <c r="J141" s="76">
        <f t="shared" si="251"/>
        <v>0</v>
      </c>
      <c r="K141" s="76">
        <f t="shared" si="251"/>
        <v>0</v>
      </c>
      <c r="L141" s="76">
        <f t="shared" si="251"/>
        <v>347214</v>
      </c>
      <c r="N141" s="76">
        <f>SUM(N135:N140)</f>
        <v>1150693</v>
      </c>
      <c r="O141" s="76">
        <f t="shared" ref="O141:R141" si="252">SUM(O135:O140)</f>
        <v>51300</v>
      </c>
      <c r="P141" s="76">
        <f t="shared" si="252"/>
        <v>0</v>
      </c>
      <c r="Q141" s="76">
        <f t="shared" si="252"/>
        <v>0</v>
      </c>
      <c r="R141" s="76">
        <f t="shared" si="252"/>
        <v>1201993</v>
      </c>
      <c r="T141" s="76">
        <f>SUM(T135:T140)</f>
        <v>164553</v>
      </c>
      <c r="U141" s="76">
        <f t="shared" ref="U141:X141" si="253">SUM(U135:U140)</f>
        <v>13200</v>
      </c>
      <c r="V141" s="76">
        <f t="shared" si="253"/>
        <v>0</v>
      </c>
      <c r="W141" s="76">
        <f t="shared" si="253"/>
        <v>0</v>
      </c>
      <c r="X141" s="76">
        <f t="shared" si="253"/>
        <v>177753</v>
      </c>
      <c r="Y141" s="199"/>
      <c r="Z141" s="76">
        <f>SUM(Z135:Z140)</f>
        <v>276379</v>
      </c>
      <c r="AA141" s="76">
        <f t="shared" ref="AA141:AD141" si="254">SUM(AA135:AA140)</f>
        <v>13680</v>
      </c>
      <c r="AB141" s="76">
        <f t="shared" si="254"/>
        <v>0</v>
      </c>
      <c r="AC141" s="76">
        <f t="shared" si="254"/>
        <v>0</v>
      </c>
      <c r="AD141" s="76">
        <f t="shared" si="254"/>
        <v>290059</v>
      </c>
      <c r="AE141" s="199"/>
      <c r="AF141" s="76">
        <f>SUM(AF135:AF140)</f>
        <v>513919</v>
      </c>
      <c r="AG141" s="76">
        <f t="shared" ref="AG141:AJ141" si="255">SUM(AG135:AG140)</f>
        <v>19000</v>
      </c>
      <c r="AH141" s="76">
        <f t="shared" si="255"/>
        <v>0</v>
      </c>
      <c r="AI141" s="76">
        <f t="shared" si="255"/>
        <v>0</v>
      </c>
      <c r="AJ141" s="76">
        <f t="shared" si="255"/>
        <v>532919</v>
      </c>
      <c r="AL141" s="76">
        <f>SUM(AL135:AL140)</f>
        <v>0</v>
      </c>
      <c r="AM141" s="76">
        <f t="shared" ref="AM141:AP141" si="256">SUM(AM135:AM140)</f>
        <v>0</v>
      </c>
      <c r="AN141" s="76">
        <f t="shared" si="256"/>
        <v>0</v>
      </c>
      <c r="AO141" s="76">
        <f t="shared" si="256"/>
        <v>0</v>
      </c>
      <c r="AP141" s="76">
        <f t="shared" si="256"/>
        <v>0</v>
      </c>
      <c r="AR141" s="76">
        <f>SUM(AR135:AR140)</f>
        <v>2760072</v>
      </c>
      <c r="AS141" s="76">
        <f t="shared" ref="AS141:AV141" si="257">SUM(AS135:AS140)</f>
        <v>137080</v>
      </c>
      <c r="AT141" s="76">
        <f t="shared" si="257"/>
        <v>0</v>
      </c>
      <c r="AU141" s="76">
        <f t="shared" si="257"/>
        <v>0</v>
      </c>
      <c r="AV141" s="76">
        <f t="shared" si="257"/>
        <v>2897152</v>
      </c>
    </row>
    <row r="142" spans="1:48" x14ac:dyDescent="0.25">
      <c r="B142" s="77"/>
      <c r="C142" s="77"/>
      <c r="D142" s="77"/>
      <c r="E142" s="77"/>
      <c r="F142" s="77"/>
      <c r="H142" s="77"/>
      <c r="I142" s="77"/>
      <c r="J142" s="77"/>
      <c r="K142" s="77"/>
      <c r="L142" s="77"/>
      <c r="N142" s="77"/>
      <c r="O142" s="77"/>
      <c r="P142" s="77"/>
      <c r="Q142" s="77"/>
      <c r="R142" s="77"/>
      <c r="T142" s="77"/>
      <c r="U142" s="77"/>
      <c r="V142" s="77"/>
      <c r="W142" s="77"/>
      <c r="X142" s="77"/>
      <c r="Y142" s="79"/>
      <c r="Z142" s="77"/>
      <c r="AA142" s="77"/>
      <c r="AB142" s="77"/>
      <c r="AC142" s="77"/>
      <c r="AD142" s="77"/>
      <c r="AE142" s="79"/>
      <c r="AF142" s="77"/>
      <c r="AG142" s="77"/>
      <c r="AH142" s="77"/>
      <c r="AI142" s="77"/>
      <c r="AJ142" s="77"/>
      <c r="AL142" s="77"/>
      <c r="AM142" s="77"/>
      <c r="AN142" s="77"/>
      <c r="AO142" s="77"/>
      <c r="AP142" s="77"/>
      <c r="AR142" s="77"/>
      <c r="AS142" s="77"/>
      <c r="AT142" s="77"/>
      <c r="AU142" s="77"/>
      <c r="AV142" s="77"/>
    </row>
    <row r="143" spans="1:48" x14ac:dyDescent="0.25">
      <c r="A143" s="28"/>
      <c r="B143" s="78" t="s">
        <v>157</v>
      </c>
      <c r="C143" s="78" t="s">
        <v>158</v>
      </c>
      <c r="D143" s="78" t="s">
        <v>159</v>
      </c>
      <c r="E143" s="78" t="str">
        <f>E134</f>
        <v>Other</v>
      </c>
      <c r="F143" s="78" t="str">
        <f>F134</f>
        <v>FY29- Mtn</v>
      </c>
      <c r="H143" s="78" t="s">
        <v>157</v>
      </c>
      <c r="I143" s="78" t="s">
        <v>158</v>
      </c>
      <c r="J143" s="78" t="s">
        <v>159</v>
      </c>
      <c r="K143" s="78" t="str">
        <f>K134</f>
        <v>Other</v>
      </c>
      <c r="L143" s="78" t="str">
        <f>L134</f>
        <v>FY29- Bon</v>
      </c>
      <c r="N143" s="78" t="s">
        <v>157</v>
      </c>
      <c r="O143" s="78" t="s">
        <v>158</v>
      </c>
      <c r="P143" s="78" t="s">
        <v>159</v>
      </c>
      <c r="Q143" s="78" t="str">
        <f>Q134</f>
        <v>Other</v>
      </c>
      <c r="R143" s="78" t="str">
        <f>R134</f>
        <v>FY29- East</v>
      </c>
      <c r="T143" s="78" t="s">
        <v>157</v>
      </c>
      <c r="U143" s="78" t="s">
        <v>158</v>
      </c>
      <c r="V143" s="78" t="s">
        <v>159</v>
      </c>
      <c r="W143" s="78" t="str">
        <f>W134</f>
        <v>Other</v>
      </c>
      <c r="X143" s="78" t="str">
        <f>X134</f>
        <v>FY29- Cactus</v>
      </c>
      <c r="Y143" s="201"/>
      <c r="Z143" s="78" t="s">
        <v>157</v>
      </c>
      <c r="AA143" s="78" t="s">
        <v>158</v>
      </c>
      <c r="AB143" s="78" t="s">
        <v>159</v>
      </c>
      <c r="AC143" s="78" t="str">
        <f>AC134</f>
        <v>Other</v>
      </c>
      <c r="AD143" s="78" t="str">
        <f>AD134</f>
        <v>FY29- Sahara</v>
      </c>
      <c r="AE143" s="201"/>
      <c r="AF143" s="78" t="s">
        <v>157</v>
      </c>
      <c r="AG143" s="78" t="s">
        <v>158</v>
      </c>
      <c r="AH143" s="78" t="s">
        <v>159</v>
      </c>
      <c r="AI143" s="78" t="str">
        <f>AI134</f>
        <v>Other</v>
      </c>
      <c r="AJ143" s="78" t="str">
        <f>AJ134</f>
        <v>FY29- VV</v>
      </c>
      <c r="AL143" s="78" t="s">
        <v>157</v>
      </c>
      <c r="AM143" s="78" t="s">
        <v>158</v>
      </c>
      <c r="AN143" s="78" t="s">
        <v>159</v>
      </c>
      <c r="AO143" s="78" t="str">
        <f>AO134</f>
        <v>Grant</v>
      </c>
      <c r="AP143" s="78" t="str">
        <f>AP134</f>
        <v>FY29 - Central</v>
      </c>
      <c r="AR143" s="78" t="s">
        <v>157</v>
      </c>
      <c r="AS143" s="78" t="s">
        <v>158</v>
      </c>
      <c r="AT143" s="78" t="s">
        <v>159</v>
      </c>
      <c r="AU143" s="78" t="str">
        <f>AU134</f>
        <v>Other</v>
      </c>
      <c r="AV143" s="78" t="str">
        <f>AV134</f>
        <v>FY29- Sys</v>
      </c>
    </row>
    <row r="144" spans="1:48" x14ac:dyDescent="0.25">
      <c r="A144" s="35" t="s">
        <v>105</v>
      </c>
      <c r="B144" s="75">
        <f>33*B17</f>
        <v>33924</v>
      </c>
      <c r="C144" s="75"/>
      <c r="D144" s="75"/>
      <c r="E144" s="75"/>
      <c r="F144" s="75">
        <f>SUM(B144:E144)</f>
        <v>33924</v>
      </c>
      <c r="H144" s="75">
        <f>33*H17</f>
        <v>33924</v>
      </c>
      <c r="I144" s="75"/>
      <c r="J144" s="75"/>
      <c r="K144" s="75"/>
      <c r="L144" s="75">
        <f>SUM(H144:K144)</f>
        <v>33924</v>
      </c>
      <c r="N144" s="75">
        <f>33*N17</f>
        <v>82863</v>
      </c>
      <c r="O144" s="75"/>
      <c r="P144" s="75"/>
      <c r="Q144" s="75"/>
      <c r="R144" s="75">
        <f>SUM(N144:Q144)</f>
        <v>82863</v>
      </c>
      <c r="T144" s="75">
        <f>36*T17</f>
        <v>19332</v>
      </c>
      <c r="U144" s="75"/>
      <c r="V144" s="75"/>
      <c r="W144" s="75"/>
      <c r="X144" s="75">
        <f>SUM(T144:W144)</f>
        <v>19332</v>
      </c>
      <c r="Y144" s="194"/>
      <c r="Z144" s="75">
        <f>33*Z17</f>
        <v>29139</v>
      </c>
      <c r="AA144" s="75"/>
      <c r="AB144" s="75"/>
      <c r="AC144" s="75"/>
      <c r="AD144" s="75">
        <f>SUM(Z144:AC144)</f>
        <v>29139</v>
      </c>
      <c r="AE144" s="194"/>
      <c r="AF144" s="75">
        <f>32*AF17</f>
        <v>29728</v>
      </c>
      <c r="AG144" s="75"/>
      <c r="AH144" s="75"/>
      <c r="AI144" s="75"/>
      <c r="AJ144" s="75">
        <f>SUM(AF144:AI144)</f>
        <v>29728</v>
      </c>
      <c r="AL144" s="75">
        <f>6000+250+250+250</f>
        <v>6750</v>
      </c>
      <c r="AM144" s="75"/>
      <c r="AN144" s="75"/>
      <c r="AO144" s="75"/>
      <c r="AP144" s="75">
        <f>SUM(AL144:AO144)</f>
        <v>6750</v>
      </c>
      <c r="AR144" s="75">
        <f>B144+H144+N144+T144+AL144+AF144+Z144</f>
        <v>235660</v>
      </c>
      <c r="AS144" s="75">
        <f t="shared" ref="AS144:AU148" si="258">C144+I144+O144+U144+AM144+AG144+AA144</f>
        <v>0</v>
      </c>
      <c r="AT144" s="75">
        <f t="shared" si="258"/>
        <v>0</v>
      </c>
      <c r="AU144" s="75">
        <f t="shared" si="258"/>
        <v>0</v>
      </c>
      <c r="AV144" s="75">
        <f>SUM(AR144:AU144)</f>
        <v>235660</v>
      </c>
    </row>
    <row r="145" spans="1:48" x14ac:dyDescent="0.25">
      <c r="A145" s="32" t="s">
        <v>103</v>
      </c>
      <c r="B145" s="63">
        <f>(3.75*B17)</f>
        <v>3855</v>
      </c>
      <c r="C145" s="63"/>
      <c r="D145" s="63"/>
      <c r="E145" s="63"/>
      <c r="F145" s="75">
        <f t="shared" ref="F145:F148" si="259">SUM(B145:E145)</f>
        <v>3855</v>
      </c>
      <c r="H145" s="63">
        <f>(3.75*H17)</f>
        <v>3855</v>
      </c>
      <c r="I145" s="63"/>
      <c r="J145" s="63"/>
      <c r="K145" s="63"/>
      <c r="L145" s="75">
        <f t="shared" ref="L145:L148" si="260">SUM(H145:K145)</f>
        <v>3855</v>
      </c>
      <c r="N145" s="63">
        <f>(3.75*N17)</f>
        <v>9416.25</v>
      </c>
      <c r="O145" s="63"/>
      <c r="P145" s="63"/>
      <c r="Q145" s="63"/>
      <c r="R145" s="75">
        <f t="shared" ref="R145:R148" si="261">SUM(N145:Q145)</f>
        <v>9416.25</v>
      </c>
      <c r="T145" s="63">
        <f>(6*T17)</f>
        <v>3222</v>
      </c>
      <c r="U145" s="63"/>
      <c r="V145" s="63"/>
      <c r="W145" s="63"/>
      <c r="X145" s="75">
        <f t="shared" ref="X145:X148" si="262">SUM(T145:W145)</f>
        <v>3222</v>
      </c>
      <c r="Y145" s="194"/>
      <c r="Z145" s="63">
        <f>(3.75*Z17)</f>
        <v>3311.25</v>
      </c>
      <c r="AA145" s="63"/>
      <c r="AB145" s="63"/>
      <c r="AC145" s="63"/>
      <c r="AD145" s="75">
        <f t="shared" ref="AD145:AD148" si="263">SUM(Z145:AC145)</f>
        <v>3311.25</v>
      </c>
      <c r="AE145" s="194"/>
      <c r="AF145" s="63">
        <f>(4*AF17)</f>
        <v>3716</v>
      </c>
      <c r="AG145" s="63"/>
      <c r="AH145" s="63"/>
      <c r="AI145" s="63"/>
      <c r="AJ145" s="75">
        <f t="shared" ref="AJ145:AJ148" si="264">SUM(AF145:AI145)</f>
        <v>3716</v>
      </c>
      <c r="AL145" s="63">
        <f>(3*AL17)</f>
        <v>0</v>
      </c>
      <c r="AM145" s="63"/>
      <c r="AN145" s="63"/>
      <c r="AO145" s="63"/>
      <c r="AP145" s="75">
        <f t="shared" ref="AP145:AP148" si="265">SUM(AL145:AO145)</f>
        <v>0</v>
      </c>
      <c r="AR145" s="75">
        <f t="shared" ref="AR145:AR148" si="266">B145+H145+N145+T145+AL145+AF145+Z145</f>
        <v>27375.5</v>
      </c>
      <c r="AS145" s="75">
        <f t="shared" si="258"/>
        <v>0</v>
      </c>
      <c r="AT145" s="75">
        <f t="shared" si="258"/>
        <v>0</v>
      </c>
      <c r="AU145" s="75">
        <f t="shared" si="258"/>
        <v>0</v>
      </c>
      <c r="AV145" s="75">
        <f t="shared" ref="AV145:AV148" si="267">SUM(AR145:AU145)</f>
        <v>27375.5</v>
      </c>
    </row>
    <row r="146" spans="1:48" x14ac:dyDescent="0.25">
      <c r="A146" s="32" t="s">
        <v>106</v>
      </c>
      <c r="B146" s="63">
        <f>9.5*B17</f>
        <v>9766</v>
      </c>
      <c r="C146" s="63"/>
      <c r="D146" s="63"/>
      <c r="E146" s="63"/>
      <c r="F146" s="75">
        <f t="shared" si="259"/>
        <v>9766</v>
      </c>
      <c r="H146" s="63">
        <f>9.5*H17</f>
        <v>9766</v>
      </c>
      <c r="I146" s="63"/>
      <c r="J146" s="63"/>
      <c r="K146" s="63"/>
      <c r="L146" s="75">
        <f t="shared" si="260"/>
        <v>9766</v>
      </c>
      <c r="N146" s="63">
        <f>9.5*N17</f>
        <v>23854.5</v>
      </c>
      <c r="O146" s="63"/>
      <c r="P146" s="63"/>
      <c r="Q146" s="63"/>
      <c r="R146" s="75">
        <f t="shared" si="261"/>
        <v>23854.5</v>
      </c>
      <c r="T146" s="63">
        <f>12*T17</f>
        <v>6444</v>
      </c>
      <c r="U146" s="63"/>
      <c r="V146" s="63"/>
      <c r="W146" s="63"/>
      <c r="X146" s="75">
        <f t="shared" si="262"/>
        <v>6444</v>
      </c>
      <c r="Y146" s="194"/>
      <c r="Z146" s="63">
        <f>9.5*Z17</f>
        <v>8388.5</v>
      </c>
      <c r="AA146" s="63"/>
      <c r="AB146" s="63"/>
      <c r="AC146" s="63"/>
      <c r="AD146" s="75">
        <f t="shared" si="263"/>
        <v>8388.5</v>
      </c>
      <c r="AE146" s="194"/>
      <c r="AF146" s="63">
        <f>9*AF17</f>
        <v>8361</v>
      </c>
      <c r="AG146" s="63"/>
      <c r="AH146" s="63"/>
      <c r="AI146" s="63"/>
      <c r="AJ146" s="75">
        <f t="shared" si="264"/>
        <v>8361</v>
      </c>
      <c r="AL146" s="63">
        <f>8*AL17</f>
        <v>0</v>
      </c>
      <c r="AM146" s="63"/>
      <c r="AN146" s="63"/>
      <c r="AO146" s="63"/>
      <c r="AP146" s="75">
        <f t="shared" si="265"/>
        <v>0</v>
      </c>
      <c r="AR146" s="75">
        <f t="shared" si="266"/>
        <v>66580</v>
      </c>
      <c r="AS146" s="75">
        <f t="shared" si="258"/>
        <v>0</v>
      </c>
      <c r="AT146" s="75">
        <f t="shared" si="258"/>
        <v>0</v>
      </c>
      <c r="AU146" s="75">
        <f t="shared" si="258"/>
        <v>0</v>
      </c>
      <c r="AV146" s="75">
        <f t="shared" si="267"/>
        <v>66580</v>
      </c>
    </row>
    <row r="147" spans="1:48" x14ac:dyDescent="0.25">
      <c r="A147" s="32" t="s">
        <v>107</v>
      </c>
      <c r="B147" s="63"/>
      <c r="C147" s="63"/>
      <c r="D147" s="63"/>
      <c r="E147" s="63"/>
      <c r="F147" s="75">
        <f t="shared" si="259"/>
        <v>0</v>
      </c>
      <c r="H147" s="63"/>
      <c r="I147" s="63"/>
      <c r="J147" s="63"/>
      <c r="K147" s="63"/>
      <c r="L147" s="75">
        <f t="shared" si="260"/>
        <v>0</v>
      </c>
      <c r="N147" s="63">
        <v>180000</v>
      </c>
      <c r="O147" s="63"/>
      <c r="P147" s="63"/>
      <c r="Q147" s="63"/>
      <c r="R147" s="75">
        <f t="shared" si="261"/>
        <v>180000</v>
      </c>
      <c r="T147" s="63"/>
      <c r="U147" s="63"/>
      <c r="V147" s="63"/>
      <c r="W147" s="63"/>
      <c r="X147" s="75">
        <f t="shared" si="262"/>
        <v>0</v>
      </c>
      <c r="Y147" s="194"/>
      <c r="Z147" s="63"/>
      <c r="AA147" s="63"/>
      <c r="AB147" s="63"/>
      <c r="AC147" s="63"/>
      <c r="AD147" s="75">
        <f t="shared" si="263"/>
        <v>0</v>
      </c>
      <c r="AE147" s="194"/>
      <c r="AF147" s="63"/>
      <c r="AG147" s="63"/>
      <c r="AH147" s="63"/>
      <c r="AI147" s="63"/>
      <c r="AJ147" s="75">
        <f t="shared" si="264"/>
        <v>0</v>
      </c>
      <c r="AL147" s="63"/>
      <c r="AM147" s="63"/>
      <c r="AN147" s="63"/>
      <c r="AO147" s="63"/>
      <c r="AP147" s="75">
        <f t="shared" si="265"/>
        <v>0</v>
      </c>
      <c r="AR147" s="75">
        <f t="shared" si="266"/>
        <v>180000</v>
      </c>
      <c r="AS147" s="75">
        <f t="shared" si="258"/>
        <v>0</v>
      </c>
      <c r="AT147" s="75">
        <f t="shared" si="258"/>
        <v>0</v>
      </c>
      <c r="AU147" s="75">
        <f t="shared" si="258"/>
        <v>0</v>
      </c>
      <c r="AV147" s="75">
        <f t="shared" si="267"/>
        <v>180000</v>
      </c>
    </row>
    <row r="148" spans="1:48" x14ac:dyDescent="0.25">
      <c r="A148" s="33" t="s">
        <v>108</v>
      </c>
      <c r="B148" s="64">
        <f>58*B17</f>
        <v>59624</v>
      </c>
      <c r="C148" s="64"/>
      <c r="D148" s="64"/>
      <c r="E148" s="64"/>
      <c r="F148" s="75">
        <f t="shared" si="259"/>
        <v>59624</v>
      </c>
      <c r="H148" s="64">
        <f>58*H17</f>
        <v>59624</v>
      </c>
      <c r="I148" s="64"/>
      <c r="J148" s="64"/>
      <c r="K148" s="64"/>
      <c r="L148" s="75">
        <f t="shared" si="260"/>
        <v>59624</v>
      </c>
      <c r="N148" s="64">
        <f>58*N17</f>
        <v>145638</v>
      </c>
      <c r="O148" s="64"/>
      <c r="P148" s="64"/>
      <c r="Q148" s="64"/>
      <c r="R148" s="75">
        <f t="shared" si="261"/>
        <v>145638</v>
      </c>
      <c r="T148" s="64">
        <f>61*T17</f>
        <v>32757</v>
      </c>
      <c r="U148" s="64"/>
      <c r="V148" s="64"/>
      <c r="W148" s="64"/>
      <c r="X148" s="75">
        <f t="shared" si="262"/>
        <v>32757</v>
      </c>
      <c r="Y148" s="194"/>
      <c r="Z148" s="64">
        <f>58*Z17</f>
        <v>51214</v>
      </c>
      <c r="AA148" s="64"/>
      <c r="AB148" s="64"/>
      <c r="AC148" s="64"/>
      <c r="AD148" s="75">
        <f t="shared" si="263"/>
        <v>51214</v>
      </c>
      <c r="AE148" s="194"/>
      <c r="AF148" s="64">
        <f>57*AF17</f>
        <v>52953</v>
      </c>
      <c r="AG148" s="64"/>
      <c r="AH148" s="64"/>
      <c r="AI148" s="64"/>
      <c r="AJ148" s="75">
        <f t="shared" si="264"/>
        <v>52953</v>
      </c>
      <c r="AL148" s="64">
        <f>50*AL17</f>
        <v>0</v>
      </c>
      <c r="AM148" s="64"/>
      <c r="AN148" s="64"/>
      <c r="AO148" s="64"/>
      <c r="AP148" s="75">
        <f t="shared" si="265"/>
        <v>0</v>
      </c>
      <c r="AR148" s="75">
        <f t="shared" si="266"/>
        <v>401810</v>
      </c>
      <c r="AS148" s="75">
        <f t="shared" si="258"/>
        <v>0</v>
      </c>
      <c r="AT148" s="75">
        <f t="shared" si="258"/>
        <v>0</v>
      </c>
      <c r="AU148" s="75">
        <f t="shared" si="258"/>
        <v>0</v>
      </c>
      <c r="AV148" s="75">
        <f t="shared" si="267"/>
        <v>401810</v>
      </c>
    </row>
    <row r="149" spans="1:48" x14ac:dyDescent="0.25">
      <c r="A149" s="34"/>
      <c r="B149" s="76">
        <f>SUM(B144:B148)</f>
        <v>107169</v>
      </c>
      <c r="C149" s="76">
        <f t="shared" ref="C149:F149" si="268">SUM(C144:C148)</f>
        <v>0</v>
      </c>
      <c r="D149" s="76">
        <f t="shared" si="268"/>
        <v>0</v>
      </c>
      <c r="E149" s="76">
        <f t="shared" si="268"/>
        <v>0</v>
      </c>
      <c r="F149" s="76">
        <f t="shared" si="268"/>
        <v>107169</v>
      </c>
      <c r="H149" s="76">
        <f>SUM(H144:H148)</f>
        <v>107169</v>
      </c>
      <c r="I149" s="76">
        <f t="shared" ref="I149:L149" si="269">SUM(I144:I148)</f>
        <v>0</v>
      </c>
      <c r="J149" s="76">
        <f t="shared" si="269"/>
        <v>0</v>
      </c>
      <c r="K149" s="76">
        <f t="shared" si="269"/>
        <v>0</v>
      </c>
      <c r="L149" s="76">
        <f t="shared" si="269"/>
        <v>107169</v>
      </c>
      <c r="N149" s="76">
        <f>SUM(N144:N148)</f>
        <v>441771.75</v>
      </c>
      <c r="O149" s="76">
        <f t="shared" ref="O149:R149" si="270">SUM(O144:O148)</f>
        <v>0</v>
      </c>
      <c r="P149" s="76">
        <f t="shared" si="270"/>
        <v>0</v>
      </c>
      <c r="Q149" s="76">
        <f t="shared" si="270"/>
        <v>0</v>
      </c>
      <c r="R149" s="76">
        <f t="shared" si="270"/>
        <v>441771.75</v>
      </c>
      <c r="T149" s="76">
        <f>SUM(T144:T148)</f>
        <v>61755</v>
      </c>
      <c r="U149" s="76">
        <f t="shared" ref="U149:X149" si="271">SUM(U144:U148)</f>
        <v>0</v>
      </c>
      <c r="V149" s="76">
        <f t="shared" si="271"/>
        <v>0</v>
      </c>
      <c r="W149" s="76">
        <f t="shared" si="271"/>
        <v>0</v>
      </c>
      <c r="X149" s="76">
        <f t="shared" si="271"/>
        <v>61755</v>
      </c>
      <c r="Y149" s="199"/>
      <c r="Z149" s="76">
        <f>SUM(Z144:Z148)</f>
        <v>92052.75</v>
      </c>
      <c r="AA149" s="76">
        <f t="shared" ref="AA149:AD149" si="272">SUM(AA144:AA148)</f>
        <v>0</v>
      </c>
      <c r="AB149" s="76">
        <f t="shared" si="272"/>
        <v>0</v>
      </c>
      <c r="AC149" s="76">
        <f t="shared" si="272"/>
        <v>0</v>
      </c>
      <c r="AD149" s="76">
        <f t="shared" si="272"/>
        <v>92052.75</v>
      </c>
      <c r="AE149" s="199"/>
      <c r="AF149" s="76">
        <f>SUM(AF144:AF148)</f>
        <v>94758</v>
      </c>
      <c r="AG149" s="76">
        <f t="shared" ref="AG149:AJ149" si="273">SUM(AG144:AG148)</f>
        <v>0</v>
      </c>
      <c r="AH149" s="76">
        <f t="shared" si="273"/>
        <v>0</v>
      </c>
      <c r="AI149" s="76">
        <f t="shared" si="273"/>
        <v>0</v>
      </c>
      <c r="AJ149" s="76">
        <f t="shared" si="273"/>
        <v>94758</v>
      </c>
      <c r="AL149" s="76">
        <f>SUM(AL144:AL148)</f>
        <v>6750</v>
      </c>
      <c r="AM149" s="76">
        <f t="shared" ref="AM149:AP149" si="274">SUM(AM144:AM148)</f>
        <v>0</v>
      </c>
      <c r="AN149" s="76">
        <f t="shared" si="274"/>
        <v>0</v>
      </c>
      <c r="AO149" s="76">
        <f t="shared" si="274"/>
        <v>0</v>
      </c>
      <c r="AP149" s="76">
        <f t="shared" si="274"/>
        <v>6750</v>
      </c>
      <c r="AR149" s="76">
        <f>SUM(AR144:AR148)</f>
        <v>911425.5</v>
      </c>
      <c r="AS149" s="76">
        <f t="shared" ref="AS149:AV149" si="275">SUM(AS144:AS148)</f>
        <v>0</v>
      </c>
      <c r="AT149" s="76">
        <f t="shared" si="275"/>
        <v>0</v>
      </c>
      <c r="AU149" s="76">
        <f t="shared" si="275"/>
        <v>0</v>
      </c>
      <c r="AV149" s="76">
        <f t="shared" si="275"/>
        <v>911425.5</v>
      </c>
    </row>
    <row r="150" spans="1:48" x14ac:dyDescent="0.25">
      <c r="B150" s="77"/>
      <c r="C150" s="77"/>
      <c r="D150" s="77"/>
      <c r="E150" s="77"/>
      <c r="F150" s="77"/>
      <c r="H150" s="77"/>
      <c r="I150" s="77"/>
      <c r="J150" s="77"/>
      <c r="K150" s="77"/>
      <c r="L150" s="77"/>
      <c r="N150" s="77"/>
      <c r="O150" s="77"/>
      <c r="P150" s="77"/>
      <c r="Q150" s="77"/>
      <c r="R150" s="77"/>
      <c r="T150" s="77"/>
      <c r="U150" s="77"/>
      <c r="V150" s="77"/>
      <c r="W150" s="77"/>
      <c r="X150" s="77"/>
      <c r="Y150" s="79"/>
      <c r="Z150" s="77"/>
      <c r="AA150" s="77"/>
      <c r="AB150" s="77"/>
      <c r="AC150" s="77"/>
      <c r="AD150" s="77"/>
      <c r="AE150" s="79"/>
      <c r="AF150" s="77"/>
      <c r="AG150" s="77"/>
      <c r="AH150" s="77"/>
      <c r="AI150" s="77"/>
      <c r="AJ150" s="77"/>
      <c r="AL150" s="77"/>
      <c r="AM150" s="77"/>
      <c r="AN150" s="77"/>
      <c r="AO150" s="77"/>
      <c r="AP150" s="77"/>
      <c r="AR150" s="77"/>
      <c r="AS150" s="77"/>
      <c r="AT150" s="77"/>
      <c r="AU150" s="77"/>
      <c r="AV150" s="77"/>
    </row>
    <row r="151" spans="1:48" x14ac:dyDescent="0.25">
      <c r="A151" s="28"/>
      <c r="B151" s="78" t="s">
        <v>157</v>
      </c>
      <c r="C151" s="78" t="s">
        <v>158</v>
      </c>
      <c r="D151" s="78" t="s">
        <v>159</v>
      </c>
      <c r="E151" s="78" t="str">
        <f>E134</f>
        <v>Other</v>
      </c>
      <c r="F151" s="78" t="str">
        <f>F134</f>
        <v>FY29- Mtn</v>
      </c>
      <c r="H151" s="78" t="s">
        <v>157</v>
      </c>
      <c r="I151" s="78" t="s">
        <v>158</v>
      </c>
      <c r="J151" s="78" t="s">
        <v>159</v>
      </c>
      <c r="K151" s="78" t="str">
        <f>K134</f>
        <v>Other</v>
      </c>
      <c r="L151" s="78" t="str">
        <f>L134</f>
        <v>FY29- Bon</v>
      </c>
      <c r="N151" s="78" t="s">
        <v>157</v>
      </c>
      <c r="O151" s="78" t="s">
        <v>158</v>
      </c>
      <c r="P151" s="78" t="s">
        <v>159</v>
      </c>
      <c r="Q151" s="78" t="str">
        <f>Q134</f>
        <v>Other</v>
      </c>
      <c r="R151" s="78" t="str">
        <f>R134</f>
        <v>FY29- East</v>
      </c>
      <c r="T151" s="78" t="s">
        <v>157</v>
      </c>
      <c r="U151" s="78" t="s">
        <v>158</v>
      </c>
      <c r="V151" s="78" t="s">
        <v>159</v>
      </c>
      <c r="W151" s="78" t="str">
        <f>W134</f>
        <v>Other</v>
      </c>
      <c r="X151" s="78" t="str">
        <f>X134</f>
        <v>FY29- Cactus</v>
      </c>
      <c r="Y151" s="201"/>
      <c r="Z151" s="78" t="s">
        <v>157</v>
      </c>
      <c r="AA151" s="78" t="s">
        <v>158</v>
      </c>
      <c r="AB151" s="78" t="s">
        <v>159</v>
      </c>
      <c r="AC151" s="78" t="str">
        <f>AC134</f>
        <v>Other</v>
      </c>
      <c r="AD151" s="78" t="str">
        <f>AD134</f>
        <v>FY29- Sahara</v>
      </c>
      <c r="AE151" s="201"/>
      <c r="AF151" s="78" t="s">
        <v>157</v>
      </c>
      <c r="AG151" s="78" t="s">
        <v>158</v>
      </c>
      <c r="AH151" s="78" t="s">
        <v>159</v>
      </c>
      <c r="AI151" s="78" t="str">
        <f>AI134</f>
        <v>Other</v>
      </c>
      <c r="AJ151" s="78" t="str">
        <f>AJ134</f>
        <v>FY29- VV</v>
      </c>
      <c r="AL151" s="78" t="s">
        <v>157</v>
      </c>
      <c r="AM151" s="78" t="s">
        <v>158</v>
      </c>
      <c r="AN151" s="78" t="s">
        <v>159</v>
      </c>
      <c r="AO151" s="78" t="str">
        <f>AO134</f>
        <v>Grant</v>
      </c>
      <c r="AP151" s="78" t="str">
        <f>AP134</f>
        <v>FY29 - Central</v>
      </c>
      <c r="AR151" s="78" t="s">
        <v>157</v>
      </c>
      <c r="AS151" s="78" t="s">
        <v>158</v>
      </c>
      <c r="AT151" s="78" t="s">
        <v>159</v>
      </c>
      <c r="AU151" s="78" t="str">
        <f>AU134</f>
        <v>Other</v>
      </c>
      <c r="AV151" s="78" t="str">
        <f>AV134</f>
        <v>FY29- Sys</v>
      </c>
    </row>
    <row r="152" spans="1:48" x14ac:dyDescent="0.25">
      <c r="A152" s="35" t="s">
        <v>109</v>
      </c>
      <c r="B152" s="75">
        <f>(6500*2)*1.02*1.02*1.03</f>
        <v>13930.956000000002</v>
      </c>
      <c r="C152" s="75"/>
      <c r="D152" s="75"/>
      <c r="E152" s="75"/>
      <c r="F152" s="75">
        <f>SUM(B152:E152)</f>
        <v>13930.956000000002</v>
      </c>
      <c r="H152" s="75">
        <f>(6500*2)*1.02*1.02*1.03</f>
        <v>13930.956000000002</v>
      </c>
      <c r="I152" s="75"/>
      <c r="J152" s="75"/>
      <c r="K152" s="75"/>
      <c r="L152" s="75">
        <f>SUM(H152:K152)</f>
        <v>13930.956000000002</v>
      </c>
      <c r="N152" s="75">
        <f>((6500*3)+5000)*1.03*1.03*1.03</f>
        <v>26771.8115</v>
      </c>
      <c r="O152" s="75"/>
      <c r="P152" s="75"/>
      <c r="Q152" s="75"/>
      <c r="R152" s="75">
        <f>SUM(N152:Q152)</f>
        <v>26771.8115</v>
      </c>
      <c r="T152" s="60">
        <v>0</v>
      </c>
      <c r="U152" s="75"/>
      <c r="V152" s="75"/>
      <c r="W152" s="75"/>
      <c r="X152" s="75">
        <f>SUM(T152:W152)</f>
        <v>0</v>
      </c>
      <c r="Y152" s="194"/>
      <c r="Z152" s="60">
        <f>6500*1.03*1.03</f>
        <v>6895.85</v>
      </c>
      <c r="AA152" s="75"/>
      <c r="AB152" s="75"/>
      <c r="AC152" s="75"/>
      <c r="AD152" s="75">
        <f>SUM(Z152:AC152)</f>
        <v>6895.85</v>
      </c>
      <c r="AE152" s="194"/>
      <c r="AF152" s="60">
        <v>0</v>
      </c>
      <c r="AG152" s="75"/>
      <c r="AH152" s="75"/>
      <c r="AI152" s="75"/>
      <c r="AJ152" s="75">
        <f>SUM(AF152:AI152)</f>
        <v>0</v>
      </c>
      <c r="AL152" s="60">
        <v>0</v>
      </c>
      <c r="AM152" s="75"/>
      <c r="AN152" s="75"/>
      <c r="AO152" s="75">
        <v>6500</v>
      </c>
      <c r="AP152" s="75">
        <f>SUM(AL152:AO152)</f>
        <v>6500</v>
      </c>
      <c r="AR152" s="60">
        <f>B152+H152+N152+T152+AL152+AF152+Z152</f>
        <v>61529.573500000006</v>
      </c>
      <c r="AS152" s="60">
        <f t="shared" ref="AS152:AU158" si="276">C152+I152+O152+U152+AM152+AG152+AA152</f>
        <v>0</v>
      </c>
      <c r="AT152" s="60">
        <f t="shared" si="276"/>
        <v>0</v>
      </c>
      <c r="AU152" s="60">
        <f t="shared" si="276"/>
        <v>6500</v>
      </c>
      <c r="AV152" s="75">
        <f>SUM(AR152:AU152)</f>
        <v>68029.573499999999</v>
      </c>
    </row>
    <row r="153" spans="1:48" x14ac:dyDescent="0.25">
      <c r="A153" s="32" t="s">
        <v>110</v>
      </c>
      <c r="B153" s="63"/>
      <c r="C153" s="63">
        <f>(82*B17)</f>
        <v>84296</v>
      </c>
      <c r="D153" s="63"/>
      <c r="E153" s="63"/>
      <c r="F153" s="75">
        <f t="shared" ref="F153:F158" si="277">SUM(B153:E153)</f>
        <v>84296</v>
      </c>
      <c r="H153" s="63"/>
      <c r="I153" s="63">
        <f>(82*H17)</f>
        <v>84296</v>
      </c>
      <c r="J153" s="63"/>
      <c r="K153" s="63"/>
      <c r="L153" s="75">
        <f t="shared" ref="L153:L158" si="278">SUM(H153:K153)</f>
        <v>84296</v>
      </c>
      <c r="N153" s="63"/>
      <c r="O153" s="63">
        <f>(82*N17)</f>
        <v>205902</v>
      </c>
      <c r="P153" s="63"/>
      <c r="Q153" s="63"/>
      <c r="R153" s="75">
        <f t="shared" ref="R153:R158" si="279">SUM(N153:Q153)</f>
        <v>205902</v>
      </c>
      <c r="T153" s="63"/>
      <c r="U153" s="61">
        <f>(240*T17)</f>
        <v>128880</v>
      </c>
      <c r="V153" s="63"/>
      <c r="W153" s="63"/>
      <c r="X153" s="75">
        <f t="shared" ref="X153:X158" si="280">SUM(T153:W153)</f>
        <v>128880</v>
      </c>
      <c r="Y153" s="194"/>
      <c r="Z153" s="63"/>
      <c r="AA153" s="61">
        <f>(230*Z17)</f>
        <v>203090</v>
      </c>
      <c r="AB153" s="63"/>
      <c r="AC153" s="63"/>
      <c r="AD153" s="75">
        <f t="shared" ref="AD153:AD158" si="281">SUM(Z153:AC153)</f>
        <v>203090</v>
      </c>
      <c r="AE153" s="194"/>
      <c r="AF153" s="63"/>
      <c r="AG153" s="61">
        <f>(230*AF17)</f>
        <v>213670</v>
      </c>
      <c r="AH153" s="63"/>
      <c r="AI153" s="63"/>
      <c r="AJ153" s="75">
        <f t="shared" ref="AJ153:AJ158" si="282">SUM(AF153:AI153)</f>
        <v>213670</v>
      </c>
      <c r="AL153" s="63"/>
      <c r="AM153" s="63"/>
      <c r="AN153" s="63"/>
      <c r="AO153" s="63"/>
      <c r="AP153" s="75">
        <f t="shared" ref="AP153:AP158" si="283">SUM(AL153:AO153)</f>
        <v>0</v>
      </c>
      <c r="AR153" s="60">
        <f t="shared" ref="AR153:AR158" si="284">B153+H153+N153+T153+AL153+AF153+Z153</f>
        <v>0</v>
      </c>
      <c r="AS153" s="60">
        <f t="shared" si="276"/>
        <v>920134</v>
      </c>
      <c r="AT153" s="60">
        <f t="shared" si="276"/>
        <v>0</v>
      </c>
      <c r="AU153" s="60">
        <f t="shared" si="276"/>
        <v>0</v>
      </c>
      <c r="AV153" s="75">
        <f t="shared" ref="AV153:AV158" si="285">SUM(AR153:AU153)</f>
        <v>920134</v>
      </c>
    </row>
    <row r="154" spans="1:48" x14ac:dyDescent="0.25">
      <c r="A154" s="32" t="s">
        <v>111</v>
      </c>
      <c r="B154" s="63">
        <f>(220*11*B36)-B124</f>
        <v>40500</v>
      </c>
      <c r="C154" s="63">
        <f>(220*11*C36)-C124</f>
        <v>12100</v>
      </c>
      <c r="D154" s="63">
        <f>(195*11*D36)-D124</f>
        <v>0</v>
      </c>
      <c r="E154" s="63">
        <f>(195*11*E36)-E124</f>
        <v>0</v>
      </c>
      <c r="F154" s="75">
        <f t="shared" si="277"/>
        <v>52600</v>
      </c>
      <c r="H154" s="63">
        <f>(220*11*H36)-H124</f>
        <v>74700</v>
      </c>
      <c r="I154" s="63">
        <f>(220*11*I36)-I124</f>
        <v>9680</v>
      </c>
      <c r="J154" s="63">
        <f>(195*11*J36)-J124</f>
        <v>0</v>
      </c>
      <c r="K154" s="63">
        <f>(195*11*K36)-K124</f>
        <v>0</v>
      </c>
      <c r="L154" s="75">
        <f t="shared" si="278"/>
        <v>84380</v>
      </c>
      <c r="N154" s="63">
        <f>(220*11*N36)-N124</f>
        <v>141820</v>
      </c>
      <c r="O154" s="63">
        <f>(220*11*O36)-O124</f>
        <v>33880</v>
      </c>
      <c r="P154" s="63">
        <f>(195*11*P36)-P124</f>
        <v>0</v>
      </c>
      <c r="Q154" s="63">
        <f>(195*11*Q36)-Q124</f>
        <v>0</v>
      </c>
      <c r="R154" s="75">
        <f t="shared" si="279"/>
        <v>175700</v>
      </c>
      <c r="T154" s="63">
        <f>(210*11*T36)-T124</f>
        <v>53130</v>
      </c>
      <c r="U154" s="63">
        <f>(210*11*U36)-U124</f>
        <v>6930</v>
      </c>
      <c r="V154" s="63">
        <f>(195*11*V36)-V124</f>
        <v>0</v>
      </c>
      <c r="W154" s="63">
        <f>(195*11*W36)-W124</f>
        <v>0</v>
      </c>
      <c r="X154" s="75">
        <f t="shared" si="280"/>
        <v>60060</v>
      </c>
      <c r="Y154" s="194"/>
      <c r="Z154" s="63">
        <f>(215*11*Z36)-Z124</f>
        <v>87505</v>
      </c>
      <c r="AA154" s="63">
        <f>(215*11*AA36)-AA124</f>
        <v>10642.5</v>
      </c>
      <c r="AB154" s="63">
        <f>(195*11*AB36)-AB124</f>
        <v>0</v>
      </c>
      <c r="AC154" s="63">
        <f>(195*11*AC36)-AC124</f>
        <v>0</v>
      </c>
      <c r="AD154" s="75">
        <f t="shared" si="281"/>
        <v>98147.5</v>
      </c>
      <c r="AE154" s="194"/>
      <c r="AF154" s="63">
        <f>(200*11*AF36)-AF124</f>
        <v>83600</v>
      </c>
      <c r="AG154" s="63">
        <f>(200*11*AG36)-AG124</f>
        <v>9900</v>
      </c>
      <c r="AH154" s="63">
        <f>(195*11*AH36)-AH124</f>
        <v>0</v>
      </c>
      <c r="AI154" s="63">
        <f>(195*11*AI36)-AI124</f>
        <v>0</v>
      </c>
      <c r="AJ154" s="75">
        <f t="shared" si="282"/>
        <v>93500</v>
      </c>
      <c r="AL154" s="63"/>
      <c r="AM154" s="63"/>
      <c r="AN154" s="63"/>
      <c r="AO154" s="63"/>
      <c r="AP154" s="75">
        <f t="shared" si="283"/>
        <v>0</v>
      </c>
      <c r="AR154" s="60">
        <f t="shared" si="284"/>
        <v>481255</v>
      </c>
      <c r="AS154" s="60">
        <f t="shared" si="276"/>
        <v>83132.5</v>
      </c>
      <c r="AT154" s="60">
        <f t="shared" si="276"/>
        <v>0</v>
      </c>
      <c r="AU154" s="60">
        <f t="shared" si="276"/>
        <v>0</v>
      </c>
      <c r="AV154" s="75">
        <f t="shared" si="285"/>
        <v>564387.5</v>
      </c>
    </row>
    <row r="155" spans="1:48" x14ac:dyDescent="0.25">
      <c r="A155" s="32" t="s">
        <v>112</v>
      </c>
      <c r="B155" s="63"/>
      <c r="C155" s="63"/>
      <c r="D155" s="63"/>
      <c r="E155" s="63"/>
      <c r="F155" s="75">
        <f t="shared" si="277"/>
        <v>0</v>
      </c>
      <c r="H155" s="63"/>
      <c r="I155" s="63"/>
      <c r="J155" s="63"/>
      <c r="K155" s="63"/>
      <c r="L155" s="75">
        <f t="shared" si="278"/>
        <v>0</v>
      </c>
      <c r="N155" s="63"/>
      <c r="O155" s="63"/>
      <c r="P155" s="63"/>
      <c r="Q155" s="63"/>
      <c r="R155" s="75">
        <f t="shared" si="279"/>
        <v>0</v>
      </c>
      <c r="T155" s="63"/>
      <c r="U155" s="63"/>
      <c r="V155" s="63"/>
      <c r="W155" s="63"/>
      <c r="X155" s="75">
        <f t="shared" si="280"/>
        <v>0</v>
      </c>
      <c r="Y155" s="194"/>
      <c r="Z155" s="63"/>
      <c r="AA155" s="63"/>
      <c r="AB155" s="63"/>
      <c r="AC155" s="63"/>
      <c r="AD155" s="75">
        <f t="shared" si="281"/>
        <v>0</v>
      </c>
      <c r="AE155" s="194"/>
      <c r="AF155" s="63"/>
      <c r="AG155" s="63"/>
      <c r="AH155" s="63"/>
      <c r="AI155" s="63"/>
      <c r="AJ155" s="75">
        <f t="shared" si="282"/>
        <v>0</v>
      </c>
      <c r="AL155" s="63"/>
      <c r="AM155" s="63"/>
      <c r="AN155" s="63"/>
      <c r="AO155" s="63"/>
      <c r="AP155" s="75">
        <f t="shared" si="283"/>
        <v>0</v>
      </c>
      <c r="AR155" s="60">
        <f t="shared" si="284"/>
        <v>0</v>
      </c>
      <c r="AS155" s="60">
        <f t="shared" si="276"/>
        <v>0</v>
      </c>
      <c r="AT155" s="60">
        <f t="shared" si="276"/>
        <v>0</v>
      </c>
      <c r="AU155" s="60">
        <f t="shared" si="276"/>
        <v>0</v>
      </c>
      <c r="AV155" s="75">
        <f t="shared" si="285"/>
        <v>0</v>
      </c>
    </row>
    <row r="156" spans="1:48" x14ac:dyDescent="0.25">
      <c r="A156" s="32" t="s">
        <v>113</v>
      </c>
      <c r="B156" s="63">
        <f>B68*0.005</f>
        <v>50500.5</v>
      </c>
      <c r="C156" s="63"/>
      <c r="D156" s="63"/>
      <c r="E156" s="63"/>
      <c r="F156" s="75">
        <f t="shared" si="277"/>
        <v>50500.5</v>
      </c>
      <c r="H156" s="63">
        <f>H68*0.005</f>
        <v>50500.5</v>
      </c>
      <c r="I156" s="63"/>
      <c r="J156" s="63"/>
      <c r="K156" s="63"/>
      <c r="L156" s="75">
        <f t="shared" si="278"/>
        <v>50500.5</v>
      </c>
      <c r="N156" s="63">
        <f>N68*0.005</f>
        <v>123352.875</v>
      </c>
      <c r="O156" s="63"/>
      <c r="P156" s="63"/>
      <c r="Q156" s="63"/>
      <c r="R156" s="75">
        <f t="shared" si="279"/>
        <v>123352.875</v>
      </c>
      <c r="T156" s="63">
        <f>T68*0.005</f>
        <v>26380.125</v>
      </c>
      <c r="U156" s="63"/>
      <c r="V156" s="63"/>
      <c r="W156" s="63"/>
      <c r="X156" s="75">
        <f t="shared" si="280"/>
        <v>26380.125</v>
      </c>
      <c r="Y156" s="194"/>
      <c r="Z156" s="63">
        <f>Z68*0.005</f>
        <v>43377.375</v>
      </c>
      <c r="AA156" s="63"/>
      <c r="AB156" s="63"/>
      <c r="AC156" s="63"/>
      <c r="AD156" s="75">
        <f t="shared" si="281"/>
        <v>43377.375</v>
      </c>
      <c r="AE156" s="194"/>
      <c r="AF156" s="63">
        <f>AF68*0.005</f>
        <v>45637.125</v>
      </c>
      <c r="AG156" s="63"/>
      <c r="AH156" s="63"/>
      <c r="AI156" s="63"/>
      <c r="AJ156" s="75">
        <f t="shared" si="282"/>
        <v>45637.125</v>
      </c>
      <c r="AL156" s="63"/>
      <c r="AM156" s="63"/>
      <c r="AN156" s="63"/>
      <c r="AO156" s="63"/>
      <c r="AP156" s="75">
        <f t="shared" si="283"/>
        <v>0</v>
      </c>
      <c r="AR156" s="60">
        <f t="shared" si="284"/>
        <v>339748.5</v>
      </c>
      <c r="AS156" s="60">
        <f t="shared" si="276"/>
        <v>0</v>
      </c>
      <c r="AT156" s="60">
        <f t="shared" si="276"/>
        <v>0</v>
      </c>
      <c r="AU156" s="60">
        <f t="shared" si="276"/>
        <v>0</v>
      </c>
      <c r="AV156" s="75">
        <f t="shared" si="285"/>
        <v>339748.5</v>
      </c>
    </row>
    <row r="157" spans="1:48" x14ac:dyDescent="0.25">
      <c r="A157" s="32" t="s">
        <v>114</v>
      </c>
      <c r="B157" s="63">
        <f>(B68*0.005)</f>
        <v>50500.5</v>
      </c>
      <c r="C157" s="63"/>
      <c r="D157" s="63"/>
      <c r="E157" s="63"/>
      <c r="F157" s="75">
        <f t="shared" si="277"/>
        <v>50500.5</v>
      </c>
      <c r="H157" s="63">
        <f>(H68*0.005)</f>
        <v>50500.5</v>
      </c>
      <c r="I157" s="63"/>
      <c r="J157" s="63"/>
      <c r="K157" s="63"/>
      <c r="L157" s="75">
        <f t="shared" si="278"/>
        <v>50500.5</v>
      </c>
      <c r="N157" s="63">
        <f>(N68*0.005)</f>
        <v>123352.875</v>
      </c>
      <c r="O157" s="63"/>
      <c r="P157" s="63"/>
      <c r="Q157" s="63"/>
      <c r="R157" s="75">
        <f t="shared" si="279"/>
        <v>123352.875</v>
      </c>
      <c r="T157" s="63">
        <f>(T68*0.005)</f>
        <v>26380.125</v>
      </c>
      <c r="U157" s="63"/>
      <c r="V157" s="63"/>
      <c r="W157" s="63"/>
      <c r="X157" s="75">
        <f t="shared" si="280"/>
        <v>26380.125</v>
      </c>
      <c r="Y157" s="194"/>
      <c r="Z157" s="63">
        <f>(Z68*0.005)</f>
        <v>43377.375</v>
      </c>
      <c r="AA157" s="63"/>
      <c r="AB157" s="63"/>
      <c r="AC157" s="63"/>
      <c r="AD157" s="75">
        <f t="shared" si="281"/>
        <v>43377.375</v>
      </c>
      <c r="AE157" s="194"/>
      <c r="AF157" s="63">
        <f>(AF68*0.005)</f>
        <v>45637.125</v>
      </c>
      <c r="AG157" s="63"/>
      <c r="AH157" s="63"/>
      <c r="AI157" s="63"/>
      <c r="AJ157" s="75">
        <f t="shared" si="282"/>
        <v>45637.125</v>
      </c>
      <c r="AL157" s="63"/>
      <c r="AM157" s="63"/>
      <c r="AN157" s="63"/>
      <c r="AO157" s="63"/>
      <c r="AP157" s="75">
        <f t="shared" si="283"/>
        <v>0</v>
      </c>
      <c r="AR157" s="60">
        <f t="shared" si="284"/>
        <v>339748.5</v>
      </c>
      <c r="AS157" s="60">
        <f t="shared" si="276"/>
        <v>0</v>
      </c>
      <c r="AT157" s="60">
        <f t="shared" si="276"/>
        <v>0</v>
      </c>
      <c r="AU157" s="60">
        <f t="shared" si="276"/>
        <v>0</v>
      </c>
      <c r="AV157" s="75">
        <f t="shared" si="285"/>
        <v>339748.5</v>
      </c>
    </row>
    <row r="158" spans="1:48" x14ac:dyDescent="0.25">
      <c r="A158" s="33" t="s">
        <v>115</v>
      </c>
      <c r="B158" s="64"/>
      <c r="C158" s="64"/>
      <c r="D158" s="64"/>
      <c r="E158" s="64"/>
      <c r="F158" s="75">
        <f t="shared" si="277"/>
        <v>0</v>
      </c>
      <c r="H158" s="64"/>
      <c r="I158" s="64"/>
      <c r="J158" s="64"/>
      <c r="K158" s="64"/>
      <c r="L158" s="75">
        <f t="shared" si="278"/>
        <v>0</v>
      </c>
      <c r="N158" s="64"/>
      <c r="O158" s="64"/>
      <c r="P158" s="64"/>
      <c r="Q158" s="64"/>
      <c r="R158" s="75">
        <f t="shared" si="279"/>
        <v>0</v>
      </c>
      <c r="T158" s="64"/>
      <c r="U158" s="64"/>
      <c r="V158" s="64"/>
      <c r="W158" s="64"/>
      <c r="X158" s="75">
        <f t="shared" si="280"/>
        <v>0</v>
      </c>
      <c r="Y158" s="194"/>
      <c r="Z158" s="64"/>
      <c r="AA158" s="64"/>
      <c r="AB158" s="64"/>
      <c r="AC158" s="64"/>
      <c r="AD158" s="75">
        <f t="shared" si="281"/>
        <v>0</v>
      </c>
      <c r="AE158" s="194"/>
      <c r="AF158" s="64"/>
      <c r="AG158" s="64"/>
      <c r="AH158" s="64"/>
      <c r="AI158" s="64"/>
      <c r="AJ158" s="75">
        <f t="shared" si="282"/>
        <v>0</v>
      </c>
      <c r="AL158" s="64"/>
      <c r="AM158" s="64"/>
      <c r="AN158" s="64"/>
      <c r="AO158" s="64"/>
      <c r="AP158" s="75">
        <f t="shared" si="283"/>
        <v>0</v>
      </c>
      <c r="AR158" s="60">
        <f t="shared" si="284"/>
        <v>0</v>
      </c>
      <c r="AS158" s="60">
        <f t="shared" si="276"/>
        <v>0</v>
      </c>
      <c r="AT158" s="60">
        <f t="shared" si="276"/>
        <v>0</v>
      </c>
      <c r="AU158" s="60">
        <f t="shared" si="276"/>
        <v>0</v>
      </c>
      <c r="AV158" s="75">
        <f t="shared" si="285"/>
        <v>0</v>
      </c>
    </row>
    <row r="159" spans="1:48" x14ac:dyDescent="0.25">
      <c r="A159" s="34"/>
      <c r="B159" s="76">
        <f>SUM(B152:B158)</f>
        <v>155431.95600000001</v>
      </c>
      <c r="C159" s="76">
        <f t="shared" ref="C159:F159" si="286">SUM(C152:C158)</f>
        <v>96396</v>
      </c>
      <c r="D159" s="76">
        <f t="shared" si="286"/>
        <v>0</v>
      </c>
      <c r="E159" s="76">
        <f t="shared" si="286"/>
        <v>0</v>
      </c>
      <c r="F159" s="76">
        <f t="shared" si="286"/>
        <v>251827.95600000001</v>
      </c>
      <c r="H159" s="76">
        <f>SUM(H152:H158)</f>
        <v>189631.95600000001</v>
      </c>
      <c r="I159" s="76">
        <f t="shared" ref="I159:L159" si="287">SUM(I152:I158)</f>
        <v>93976</v>
      </c>
      <c r="J159" s="76">
        <f t="shared" si="287"/>
        <v>0</v>
      </c>
      <c r="K159" s="76">
        <f t="shared" si="287"/>
        <v>0</v>
      </c>
      <c r="L159" s="76">
        <f t="shared" si="287"/>
        <v>283607.95600000001</v>
      </c>
      <c r="N159" s="76">
        <f>SUM(N152:N158)</f>
        <v>415297.56150000001</v>
      </c>
      <c r="O159" s="76">
        <f t="shared" ref="O159:R159" si="288">SUM(O152:O158)</f>
        <v>239782</v>
      </c>
      <c r="P159" s="76">
        <f t="shared" si="288"/>
        <v>0</v>
      </c>
      <c r="Q159" s="76">
        <f t="shared" si="288"/>
        <v>0</v>
      </c>
      <c r="R159" s="76">
        <f t="shared" si="288"/>
        <v>655079.56150000007</v>
      </c>
      <c r="T159" s="76">
        <f t="shared" ref="T159:X159" si="289">SUM(T152:T158)</f>
        <v>105890.25</v>
      </c>
      <c r="U159" s="76">
        <f t="shared" si="289"/>
        <v>135810</v>
      </c>
      <c r="V159" s="76">
        <f t="shared" si="289"/>
        <v>0</v>
      </c>
      <c r="W159" s="76">
        <f t="shared" si="289"/>
        <v>0</v>
      </c>
      <c r="X159" s="76">
        <f t="shared" si="289"/>
        <v>241700.25</v>
      </c>
      <c r="Y159" s="199"/>
      <c r="Z159" s="76">
        <f t="shared" ref="Z159:AD159" si="290">SUM(Z152:Z158)</f>
        <v>181155.6</v>
      </c>
      <c r="AA159" s="76">
        <f t="shared" si="290"/>
        <v>213732.5</v>
      </c>
      <c r="AB159" s="76">
        <f t="shared" si="290"/>
        <v>0</v>
      </c>
      <c r="AC159" s="76">
        <f t="shared" si="290"/>
        <v>0</v>
      </c>
      <c r="AD159" s="76">
        <f t="shared" si="290"/>
        <v>394888.1</v>
      </c>
      <c r="AE159" s="199"/>
      <c r="AF159" s="76">
        <f t="shared" ref="AF159:AJ159" si="291">SUM(AF152:AF158)</f>
        <v>174874.25</v>
      </c>
      <c r="AG159" s="76">
        <f t="shared" si="291"/>
        <v>223570</v>
      </c>
      <c r="AH159" s="76">
        <f t="shared" si="291"/>
        <v>0</v>
      </c>
      <c r="AI159" s="76">
        <f t="shared" si="291"/>
        <v>0</v>
      </c>
      <c r="AJ159" s="76">
        <f t="shared" si="291"/>
        <v>398444.25</v>
      </c>
      <c r="AL159" s="76">
        <f>SUM(AL152:AL158)</f>
        <v>0</v>
      </c>
      <c r="AM159" s="76">
        <f t="shared" ref="AM159:AP159" si="292">SUM(AM152:AM158)</f>
        <v>0</v>
      </c>
      <c r="AN159" s="76">
        <f t="shared" si="292"/>
        <v>0</v>
      </c>
      <c r="AO159" s="76">
        <f t="shared" si="292"/>
        <v>6500</v>
      </c>
      <c r="AP159" s="76">
        <f t="shared" si="292"/>
        <v>6500</v>
      </c>
      <c r="AR159" s="76">
        <f>SUM(AR152:AR158)</f>
        <v>1222281.5734999999</v>
      </c>
      <c r="AS159" s="76">
        <f t="shared" ref="AS159:AV159" si="293">SUM(AS152:AS158)</f>
        <v>1003266.5</v>
      </c>
      <c r="AT159" s="76">
        <f t="shared" si="293"/>
        <v>0</v>
      </c>
      <c r="AU159" s="76">
        <f t="shared" si="293"/>
        <v>6500</v>
      </c>
      <c r="AV159" s="76">
        <f t="shared" si="293"/>
        <v>2232048.0734999999</v>
      </c>
    </row>
    <row r="160" spans="1:48" x14ac:dyDescent="0.25">
      <c r="B160" s="77"/>
      <c r="C160" s="77"/>
      <c r="D160" s="77"/>
      <c r="E160" s="77"/>
      <c r="F160" s="77"/>
      <c r="H160" s="77"/>
      <c r="I160" s="77"/>
      <c r="J160" s="77"/>
      <c r="K160" s="77"/>
      <c r="L160" s="77"/>
      <c r="N160" s="77"/>
      <c r="O160" s="77"/>
      <c r="P160" s="77"/>
      <c r="Q160" s="77"/>
      <c r="R160" s="77"/>
      <c r="T160" s="77"/>
      <c r="U160" s="77"/>
      <c r="V160" s="77"/>
      <c r="W160" s="77"/>
      <c r="X160" s="77"/>
      <c r="Y160" s="79"/>
      <c r="Z160" s="77"/>
      <c r="AA160" s="77"/>
      <c r="AB160" s="77"/>
      <c r="AC160" s="77"/>
      <c r="AD160" s="77"/>
      <c r="AE160" s="79"/>
      <c r="AF160" s="77"/>
      <c r="AG160" s="77"/>
      <c r="AH160" s="77"/>
      <c r="AI160" s="77"/>
      <c r="AJ160" s="77"/>
      <c r="AL160" s="77"/>
      <c r="AM160" s="77"/>
      <c r="AN160" s="77"/>
      <c r="AO160" s="77"/>
      <c r="AP160" s="77"/>
      <c r="AR160" s="77"/>
      <c r="AS160" s="77"/>
      <c r="AT160" s="77"/>
      <c r="AU160" s="77"/>
      <c r="AV160" s="77"/>
    </row>
    <row r="161" spans="1:48" x14ac:dyDescent="0.25">
      <c r="A161" s="28"/>
      <c r="B161" s="78" t="s">
        <v>157</v>
      </c>
      <c r="C161" s="78" t="s">
        <v>158</v>
      </c>
      <c r="D161" s="78" t="s">
        <v>159</v>
      </c>
      <c r="E161" s="78" t="str">
        <f>E151</f>
        <v>Other</v>
      </c>
      <c r="F161" s="78" t="str">
        <f>F151</f>
        <v>FY29- Mtn</v>
      </c>
      <c r="H161" s="78" t="s">
        <v>157</v>
      </c>
      <c r="I161" s="78" t="s">
        <v>158</v>
      </c>
      <c r="J161" s="78" t="s">
        <v>159</v>
      </c>
      <c r="K161" s="78" t="str">
        <f>K151</f>
        <v>Other</v>
      </c>
      <c r="L161" s="78" t="str">
        <f>L151</f>
        <v>FY29- Bon</v>
      </c>
      <c r="N161" s="78" t="s">
        <v>157</v>
      </c>
      <c r="O161" s="78" t="s">
        <v>158</v>
      </c>
      <c r="P161" s="78" t="s">
        <v>159</v>
      </c>
      <c r="Q161" s="78" t="str">
        <f>Q151</f>
        <v>Other</v>
      </c>
      <c r="R161" s="78" t="str">
        <f>R151</f>
        <v>FY29- East</v>
      </c>
      <c r="T161" s="78" t="s">
        <v>157</v>
      </c>
      <c r="U161" s="78" t="s">
        <v>158</v>
      </c>
      <c r="V161" s="78" t="s">
        <v>159</v>
      </c>
      <c r="W161" s="78" t="str">
        <f>W151</f>
        <v>Other</v>
      </c>
      <c r="X161" s="78" t="str">
        <f>X151</f>
        <v>FY29- Cactus</v>
      </c>
      <c r="Y161" s="201"/>
      <c r="Z161" s="78" t="s">
        <v>157</v>
      </c>
      <c r="AA161" s="78" t="s">
        <v>158</v>
      </c>
      <c r="AB161" s="78" t="s">
        <v>159</v>
      </c>
      <c r="AC161" s="78" t="str">
        <f>AC151</f>
        <v>Other</v>
      </c>
      <c r="AD161" s="78" t="str">
        <f>AD151</f>
        <v>FY29- Sahara</v>
      </c>
      <c r="AE161" s="201"/>
      <c r="AF161" s="78" t="s">
        <v>157</v>
      </c>
      <c r="AG161" s="78" t="s">
        <v>158</v>
      </c>
      <c r="AH161" s="78" t="s">
        <v>159</v>
      </c>
      <c r="AI161" s="78" t="str">
        <f>AI151</f>
        <v>Other</v>
      </c>
      <c r="AJ161" s="78" t="str">
        <f>AJ151</f>
        <v>FY29- VV</v>
      </c>
      <c r="AL161" s="78" t="s">
        <v>157</v>
      </c>
      <c r="AM161" s="78" t="s">
        <v>158</v>
      </c>
      <c r="AN161" s="78" t="s">
        <v>159</v>
      </c>
      <c r="AO161" s="78" t="str">
        <f>AO151</f>
        <v>Grant</v>
      </c>
      <c r="AP161" s="78" t="str">
        <f>AP151</f>
        <v>FY29 - Central</v>
      </c>
      <c r="AR161" s="78" t="s">
        <v>157</v>
      </c>
      <c r="AS161" s="78" t="s">
        <v>158</v>
      </c>
      <c r="AT161" s="78" t="s">
        <v>159</v>
      </c>
      <c r="AU161" s="78" t="str">
        <f>AU151</f>
        <v>Other</v>
      </c>
      <c r="AV161" s="78" t="str">
        <f>AV151</f>
        <v>FY29- Sys</v>
      </c>
    </row>
    <row r="162" spans="1:48" x14ac:dyDescent="0.25">
      <c r="A162" s="35" t="s">
        <v>109</v>
      </c>
      <c r="B162" s="75">
        <f>5000+500</f>
        <v>5500</v>
      </c>
      <c r="C162" s="75"/>
      <c r="D162" s="75"/>
      <c r="E162" s="75"/>
      <c r="F162" s="75">
        <f>SUM(B162:E162)</f>
        <v>5500</v>
      </c>
      <c r="H162" s="75">
        <f>5000+500</f>
        <v>5500</v>
      </c>
      <c r="I162" s="75"/>
      <c r="J162" s="75"/>
      <c r="K162" s="75"/>
      <c r="L162" s="75">
        <f>SUM(H162:K162)</f>
        <v>5500</v>
      </c>
      <c r="N162" s="75">
        <f>5000+500</f>
        <v>5500</v>
      </c>
      <c r="O162" s="75"/>
      <c r="P162" s="75"/>
      <c r="Q162" s="75"/>
      <c r="R162" s="75">
        <f>SUM(N162:Q162)</f>
        <v>5500</v>
      </c>
      <c r="T162" s="75">
        <v>0</v>
      </c>
      <c r="U162" s="75"/>
      <c r="V162" s="75"/>
      <c r="W162" s="75"/>
      <c r="X162" s="75">
        <f>SUM(T162:W162)</f>
        <v>0</v>
      </c>
      <c r="Y162" s="194"/>
      <c r="Z162" s="75">
        <v>0</v>
      </c>
      <c r="AA162" s="75"/>
      <c r="AB162" s="75"/>
      <c r="AC162" s="75"/>
      <c r="AD162" s="75">
        <f>SUM(Z162:AC162)</f>
        <v>0</v>
      </c>
      <c r="AE162" s="194"/>
      <c r="AF162" s="75">
        <v>0</v>
      </c>
      <c r="AG162" s="75"/>
      <c r="AH162" s="75"/>
      <c r="AI162" s="75"/>
      <c r="AJ162" s="75">
        <f>SUM(AF162:AI162)</f>
        <v>0</v>
      </c>
      <c r="AL162" s="75"/>
      <c r="AM162" s="75"/>
      <c r="AN162" s="75"/>
      <c r="AO162" s="75"/>
      <c r="AP162" s="75">
        <f>SUM(AL162:AO162)</f>
        <v>0</v>
      </c>
      <c r="AR162" s="75">
        <f>B162+H162+N162+T162+AL162+AF162+Z162</f>
        <v>16500</v>
      </c>
      <c r="AS162" s="75">
        <f t="shared" ref="AS162:AU170" si="294">C162+I162+O162+U162+AM162+AG162+AA162</f>
        <v>0</v>
      </c>
      <c r="AT162" s="75">
        <f t="shared" si="294"/>
        <v>0</v>
      </c>
      <c r="AU162" s="75">
        <f t="shared" si="294"/>
        <v>0</v>
      </c>
      <c r="AV162" s="75">
        <f>SUM(AR162:AU162)</f>
        <v>16500</v>
      </c>
    </row>
    <row r="163" spans="1:48" x14ac:dyDescent="0.25">
      <c r="A163" s="32" t="s">
        <v>112</v>
      </c>
      <c r="B163" s="63"/>
      <c r="C163" s="63"/>
      <c r="D163" s="63"/>
      <c r="E163" s="63"/>
      <c r="F163" s="75">
        <f t="shared" ref="F163:F170" si="295">SUM(B163:E163)</f>
        <v>0</v>
      </c>
      <c r="H163" s="63"/>
      <c r="I163" s="63"/>
      <c r="J163" s="63"/>
      <c r="K163" s="63"/>
      <c r="L163" s="75">
        <f t="shared" ref="L163:L170" si="296">SUM(H163:K163)</f>
        <v>0</v>
      </c>
      <c r="N163" s="89">
        <f>35000*1.03*1.03*1.03</f>
        <v>38245.445</v>
      </c>
      <c r="O163" s="63"/>
      <c r="P163" s="63"/>
      <c r="Q163" s="63"/>
      <c r="R163" s="75">
        <f t="shared" ref="R163:R170" si="297">SUM(N163:Q163)</f>
        <v>38245.445</v>
      </c>
      <c r="T163" s="63"/>
      <c r="U163" s="63"/>
      <c r="V163" s="63"/>
      <c r="W163" s="63"/>
      <c r="X163" s="75">
        <f t="shared" ref="X163:X170" si="298">SUM(T163:W163)</f>
        <v>0</v>
      </c>
      <c r="Y163" s="194"/>
      <c r="Z163" s="63"/>
      <c r="AA163" s="63"/>
      <c r="AB163" s="63"/>
      <c r="AC163" s="63"/>
      <c r="AD163" s="75">
        <f t="shared" ref="AD163:AD170" si="299">SUM(Z163:AC163)</f>
        <v>0</v>
      </c>
      <c r="AE163" s="194"/>
      <c r="AF163" s="63"/>
      <c r="AG163" s="63"/>
      <c r="AH163" s="63"/>
      <c r="AI163" s="63"/>
      <c r="AJ163" s="75">
        <f t="shared" ref="AJ163:AJ170" si="300">SUM(AF163:AI163)</f>
        <v>0</v>
      </c>
      <c r="AL163" s="63"/>
      <c r="AM163" s="63"/>
      <c r="AN163" s="63"/>
      <c r="AO163" s="63"/>
      <c r="AP163" s="75">
        <f t="shared" ref="AP163:AP170" si="301">SUM(AL163:AO163)</f>
        <v>0</v>
      </c>
      <c r="AR163" s="75">
        <f t="shared" ref="AR163:AR170" si="302">B163+H163+N163+T163+AL163+AF163+Z163</f>
        <v>38245.445</v>
      </c>
      <c r="AS163" s="75">
        <f t="shared" si="294"/>
        <v>0</v>
      </c>
      <c r="AT163" s="75">
        <f t="shared" si="294"/>
        <v>0</v>
      </c>
      <c r="AU163" s="75">
        <f t="shared" si="294"/>
        <v>0</v>
      </c>
      <c r="AV163" s="75">
        <f t="shared" ref="AV163:AV170" si="303">SUM(AR163:AU163)</f>
        <v>38245.445</v>
      </c>
    </row>
    <row r="164" spans="1:48" x14ac:dyDescent="0.25">
      <c r="A164" s="32" t="s">
        <v>116</v>
      </c>
      <c r="B164" s="63">
        <f>516.5*B17</f>
        <v>530962</v>
      </c>
      <c r="C164" s="63"/>
      <c r="D164" s="63"/>
      <c r="E164" s="63"/>
      <c r="F164" s="75">
        <f t="shared" si="295"/>
        <v>530962</v>
      </c>
      <c r="H164" s="63">
        <f>516.5*H17</f>
        <v>530962</v>
      </c>
      <c r="I164" s="63"/>
      <c r="J164" s="63"/>
      <c r="K164" s="63"/>
      <c r="L164" s="75">
        <f t="shared" si="296"/>
        <v>530962</v>
      </c>
      <c r="N164" s="63">
        <f>516.5*N17</f>
        <v>1296931.5</v>
      </c>
      <c r="O164" s="63"/>
      <c r="P164" s="63"/>
      <c r="Q164" s="63"/>
      <c r="R164" s="75">
        <f t="shared" si="297"/>
        <v>1296931.5</v>
      </c>
      <c r="T164" s="63">
        <f>516.5*T17</f>
        <v>277360.5</v>
      </c>
      <c r="U164" s="63"/>
      <c r="V164" s="63"/>
      <c r="W164" s="63"/>
      <c r="X164" s="75">
        <f t="shared" si="298"/>
        <v>277360.5</v>
      </c>
      <c r="Y164" s="194"/>
      <c r="Z164" s="63">
        <f>516.5*Z17</f>
        <v>456069.5</v>
      </c>
      <c r="AA164" s="63"/>
      <c r="AB164" s="63"/>
      <c r="AC164" s="63"/>
      <c r="AD164" s="75">
        <f t="shared" si="299"/>
        <v>456069.5</v>
      </c>
      <c r="AE164" s="194"/>
      <c r="AF164" s="63">
        <f>516.5*AF17</f>
        <v>479828.5</v>
      </c>
      <c r="AG164" s="63"/>
      <c r="AH164" s="63"/>
      <c r="AI164" s="63"/>
      <c r="AJ164" s="75">
        <f t="shared" si="300"/>
        <v>479828.5</v>
      </c>
      <c r="AL164" s="63"/>
      <c r="AM164" s="63"/>
      <c r="AN164" s="63"/>
      <c r="AO164" s="63"/>
      <c r="AP164" s="75">
        <f t="shared" si="301"/>
        <v>0</v>
      </c>
      <c r="AR164" s="75">
        <f t="shared" si="302"/>
        <v>3572114</v>
      </c>
      <c r="AS164" s="75">
        <f t="shared" si="294"/>
        <v>0</v>
      </c>
      <c r="AT164" s="75">
        <f t="shared" si="294"/>
        <v>0</v>
      </c>
      <c r="AU164" s="75">
        <f t="shared" si="294"/>
        <v>0</v>
      </c>
      <c r="AV164" s="75">
        <f t="shared" si="303"/>
        <v>3572114</v>
      </c>
    </row>
    <row r="165" spans="1:48" x14ac:dyDescent="0.25">
      <c r="A165" s="32" t="s">
        <v>117</v>
      </c>
      <c r="B165" s="61">
        <f>(3700*12)*1.03*1.03*1.03</f>
        <v>48517.078800000003</v>
      </c>
      <c r="C165" s="63"/>
      <c r="D165" s="63"/>
      <c r="E165" s="63"/>
      <c r="F165" s="75">
        <f t="shared" si="295"/>
        <v>48517.078800000003</v>
      </c>
      <c r="H165" s="61">
        <f>(3700*12)*1.03*1.03*1.03</f>
        <v>48517.078800000003</v>
      </c>
      <c r="I165" s="63"/>
      <c r="J165" s="63"/>
      <c r="K165" s="63"/>
      <c r="L165" s="75">
        <f t="shared" si="296"/>
        <v>48517.078800000003</v>
      </c>
      <c r="N165" s="61">
        <f>108000*1.03*1.03*1.03</f>
        <v>118014.516</v>
      </c>
      <c r="O165" s="63"/>
      <c r="P165" s="63"/>
      <c r="Q165" s="63"/>
      <c r="R165" s="75">
        <f t="shared" si="297"/>
        <v>118014.516</v>
      </c>
      <c r="T165" s="61">
        <f>(800*12)*1.02*1.03*1.03</f>
        <v>10388.3328</v>
      </c>
      <c r="U165" s="63"/>
      <c r="V165" s="63"/>
      <c r="W165" s="63"/>
      <c r="X165" s="75">
        <f t="shared" si="298"/>
        <v>10388.3328</v>
      </c>
      <c r="Y165" s="194"/>
      <c r="Z165" s="61">
        <v>40000</v>
      </c>
      <c r="AA165" s="63"/>
      <c r="AB165" s="63"/>
      <c r="AC165" s="63"/>
      <c r="AD165" s="75">
        <f t="shared" si="299"/>
        <v>40000</v>
      </c>
      <c r="AE165" s="194"/>
      <c r="AF165" s="61">
        <f>(800*12)*1.02</f>
        <v>9792</v>
      </c>
      <c r="AG165" s="63"/>
      <c r="AH165" s="63"/>
      <c r="AI165" s="63"/>
      <c r="AJ165" s="75">
        <f t="shared" si="300"/>
        <v>9792</v>
      </c>
      <c r="AL165" s="61">
        <f>10000*1.03*1.03*1.03</f>
        <v>10927.27</v>
      </c>
      <c r="AM165" s="63"/>
      <c r="AN165" s="63"/>
      <c r="AO165" s="63"/>
      <c r="AP165" s="75">
        <f t="shared" si="301"/>
        <v>10927.27</v>
      </c>
      <c r="AR165" s="75">
        <f t="shared" si="302"/>
        <v>286156.27639999997</v>
      </c>
      <c r="AS165" s="75">
        <f t="shared" si="294"/>
        <v>0</v>
      </c>
      <c r="AT165" s="75">
        <f t="shared" si="294"/>
        <v>0</v>
      </c>
      <c r="AU165" s="75">
        <f t="shared" si="294"/>
        <v>0</v>
      </c>
      <c r="AV165" s="75">
        <f t="shared" si="303"/>
        <v>286156.27639999997</v>
      </c>
    </row>
    <row r="166" spans="1:48" x14ac:dyDescent="0.25">
      <c r="A166" s="32" t="s">
        <v>118</v>
      </c>
      <c r="B166" s="63">
        <f>22500*1.03*1.03*1.03</f>
        <v>24586.357500000002</v>
      </c>
      <c r="C166" s="63"/>
      <c r="D166" s="63"/>
      <c r="E166" s="63"/>
      <c r="F166" s="75">
        <f t="shared" si="295"/>
        <v>24586.357500000002</v>
      </c>
      <c r="H166" s="63">
        <f>22500*1.03*1.03*1.03</f>
        <v>24586.357500000002</v>
      </c>
      <c r="I166" s="63"/>
      <c r="J166" s="63"/>
      <c r="K166" s="63"/>
      <c r="L166" s="75">
        <f t="shared" si="296"/>
        <v>24586.357500000002</v>
      </c>
      <c r="N166" s="63">
        <f>30000*1.03*1.03</f>
        <v>31827</v>
      </c>
      <c r="O166" s="63"/>
      <c r="P166" s="63"/>
      <c r="Q166" s="63"/>
      <c r="R166" s="75">
        <f t="shared" si="297"/>
        <v>31827</v>
      </c>
      <c r="T166" s="63">
        <f>10000+2500</f>
        <v>12500</v>
      </c>
      <c r="U166" s="63"/>
      <c r="V166" s="63"/>
      <c r="W166" s="63"/>
      <c r="X166" s="75">
        <f t="shared" si="298"/>
        <v>12500</v>
      </c>
      <c r="Y166" s="194"/>
      <c r="Z166" s="63">
        <v>15000</v>
      </c>
      <c r="AA166" s="63"/>
      <c r="AB166" s="63"/>
      <c r="AC166" s="63"/>
      <c r="AD166" s="75">
        <f t="shared" si="299"/>
        <v>15000</v>
      </c>
      <c r="AE166" s="194"/>
      <c r="AF166" s="63">
        <v>10000</v>
      </c>
      <c r="AG166" s="63"/>
      <c r="AH166" s="63"/>
      <c r="AI166" s="63"/>
      <c r="AJ166" s="75">
        <f t="shared" si="300"/>
        <v>10000</v>
      </c>
      <c r="AL166" s="63"/>
      <c r="AM166" s="63"/>
      <c r="AN166" s="63"/>
      <c r="AO166" s="63"/>
      <c r="AP166" s="75">
        <f t="shared" si="301"/>
        <v>0</v>
      </c>
      <c r="AR166" s="75">
        <f t="shared" si="302"/>
        <v>118499.715</v>
      </c>
      <c r="AS166" s="75">
        <f t="shared" si="294"/>
        <v>0</v>
      </c>
      <c r="AT166" s="75">
        <f t="shared" si="294"/>
        <v>0</v>
      </c>
      <c r="AU166" s="75">
        <f t="shared" si="294"/>
        <v>0</v>
      </c>
      <c r="AV166" s="75">
        <f t="shared" si="303"/>
        <v>118499.715</v>
      </c>
    </row>
    <row r="167" spans="1:48" x14ac:dyDescent="0.25">
      <c r="A167" s="32" t="s">
        <v>119</v>
      </c>
      <c r="B167" s="63">
        <f>30000+5000+2500+1000</f>
        <v>38500</v>
      </c>
      <c r="C167" s="63"/>
      <c r="D167" s="63"/>
      <c r="E167" s="63"/>
      <c r="F167" s="75">
        <f t="shared" si="295"/>
        <v>38500</v>
      </c>
      <c r="H167" s="63">
        <f>30000+5000+2500+1000</f>
        <v>38500</v>
      </c>
      <c r="I167" s="63"/>
      <c r="J167" s="63"/>
      <c r="K167" s="63"/>
      <c r="L167" s="75">
        <f t="shared" si="296"/>
        <v>38500</v>
      </c>
      <c r="N167" s="63">
        <f>52500+3000</f>
        <v>55500</v>
      </c>
      <c r="O167" s="63"/>
      <c r="P167" s="63"/>
      <c r="Q167" s="63"/>
      <c r="R167" s="75">
        <f t="shared" si="297"/>
        <v>55500</v>
      </c>
      <c r="T167" s="63">
        <f>30000+2500+2500+2500</f>
        <v>37500</v>
      </c>
      <c r="U167" s="63"/>
      <c r="V167" s="63"/>
      <c r="W167" s="63"/>
      <c r="X167" s="75">
        <f t="shared" si="298"/>
        <v>37500</v>
      </c>
      <c r="Y167" s="194"/>
      <c r="Z167" s="63">
        <v>35000</v>
      </c>
      <c r="AA167" s="63"/>
      <c r="AB167" s="63"/>
      <c r="AC167" s="63"/>
      <c r="AD167" s="75">
        <f t="shared" si="299"/>
        <v>35000</v>
      </c>
      <c r="AE167" s="194"/>
      <c r="AF167" s="63">
        <v>35000</v>
      </c>
      <c r="AG167" s="63"/>
      <c r="AH167" s="63"/>
      <c r="AI167" s="63"/>
      <c r="AJ167" s="75">
        <f t="shared" si="300"/>
        <v>35000</v>
      </c>
      <c r="AL167" s="63"/>
      <c r="AM167" s="63"/>
      <c r="AN167" s="63"/>
      <c r="AO167" s="63"/>
      <c r="AP167" s="75">
        <f t="shared" si="301"/>
        <v>0</v>
      </c>
      <c r="AR167" s="75">
        <f t="shared" si="302"/>
        <v>240000</v>
      </c>
      <c r="AS167" s="75">
        <f t="shared" si="294"/>
        <v>0</v>
      </c>
      <c r="AT167" s="75">
        <f t="shared" si="294"/>
        <v>0</v>
      </c>
      <c r="AU167" s="75">
        <f t="shared" si="294"/>
        <v>0</v>
      </c>
      <c r="AV167" s="75">
        <f t="shared" si="303"/>
        <v>240000</v>
      </c>
    </row>
    <row r="168" spans="1:48" x14ac:dyDescent="0.25">
      <c r="A168" s="32" t="s">
        <v>120</v>
      </c>
      <c r="B168" s="63">
        <f>(47*B17)</f>
        <v>48316</v>
      </c>
      <c r="C168" s="63"/>
      <c r="D168" s="63"/>
      <c r="E168" s="63"/>
      <c r="F168" s="75">
        <f t="shared" si="295"/>
        <v>48316</v>
      </c>
      <c r="H168" s="63">
        <f>(47*H17)</f>
        <v>48316</v>
      </c>
      <c r="I168" s="63"/>
      <c r="J168" s="63"/>
      <c r="K168" s="63"/>
      <c r="L168" s="75">
        <f t="shared" si="296"/>
        <v>48316</v>
      </c>
      <c r="N168" s="63">
        <f>(47*N17)</f>
        <v>118017</v>
      </c>
      <c r="O168" s="63"/>
      <c r="P168" s="63"/>
      <c r="Q168" s="63"/>
      <c r="R168" s="75">
        <f t="shared" si="297"/>
        <v>118017</v>
      </c>
      <c r="T168" s="63">
        <f>(47*T17)</f>
        <v>25239</v>
      </c>
      <c r="U168" s="63"/>
      <c r="V168" s="63"/>
      <c r="W168" s="63"/>
      <c r="X168" s="75">
        <f t="shared" si="298"/>
        <v>25239</v>
      </c>
      <c r="Y168" s="194"/>
      <c r="Z168" s="63">
        <f>(47*Z17)</f>
        <v>41501</v>
      </c>
      <c r="AA168" s="63"/>
      <c r="AB168" s="63"/>
      <c r="AC168" s="63"/>
      <c r="AD168" s="75">
        <f t="shared" si="299"/>
        <v>41501</v>
      </c>
      <c r="AE168" s="194"/>
      <c r="AF168" s="63">
        <f>(46*AF17)</f>
        <v>42734</v>
      </c>
      <c r="AG168" s="63"/>
      <c r="AH168" s="63"/>
      <c r="AI168" s="63"/>
      <c r="AJ168" s="75">
        <f t="shared" si="300"/>
        <v>42734</v>
      </c>
      <c r="AL168" s="63"/>
      <c r="AM168" s="63"/>
      <c r="AN168" s="63"/>
      <c r="AO168" s="63"/>
      <c r="AP168" s="75">
        <f t="shared" si="301"/>
        <v>0</v>
      </c>
      <c r="AR168" s="75">
        <f t="shared" si="302"/>
        <v>324123</v>
      </c>
      <c r="AS168" s="75">
        <f t="shared" si="294"/>
        <v>0</v>
      </c>
      <c r="AT168" s="75">
        <f t="shared" si="294"/>
        <v>0</v>
      </c>
      <c r="AU168" s="75">
        <f t="shared" si="294"/>
        <v>0</v>
      </c>
      <c r="AV168" s="75">
        <f t="shared" si="303"/>
        <v>324123</v>
      </c>
    </row>
    <row r="169" spans="1:48" x14ac:dyDescent="0.25">
      <c r="A169" s="32" t="s">
        <v>121</v>
      </c>
      <c r="B169" s="63">
        <v>0</v>
      </c>
      <c r="C169" s="63"/>
      <c r="D169" s="63"/>
      <c r="E169" s="63"/>
      <c r="F169" s="75">
        <f t="shared" si="295"/>
        <v>0</v>
      </c>
      <c r="H169" s="63">
        <v>0</v>
      </c>
      <c r="I169" s="63"/>
      <c r="J169" s="63"/>
      <c r="K169" s="63"/>
      <c r="L169" s="75">
        <f t="shared" si="296"/>
        <v>0</v>
      </c>
      <c r="N169" s="63">
        <v>0</v>
      </c>
      <c r="O169" s="63"/>
      <c r="P169" s="63"/>
      <c r="Q169" s="63"/>
      <c r="R169" s="75">
        <f t="shared" si="297"/>
        <v>0</v>
      </c>
      <c r="T169" s="63">
        <v>0</v>
      </c>
      <c r="U169" s="63"/>
      <c r="V169" s="63"/>
      <c r="W169" s="63"/>
      <c r="X169" s="75">
        <f t="shared" si="298"/>
        <v>0</v>
      </c>
      <c r="Y169" s="194"/>
      <c r="Z169" s="63">
        <v>0</v>
      </c>
      <c r="AA169" s="63"/>
      <c r="AB169" s="63"/>
      <c r="AC169" s="63"/>
      <c r="AD169" s="75">
        <f t="shared" si="299"/>
        <v>0</v>
      </c>
      <c r="AE169" s="194"/>
      <c r="AF169" s="63">
        <v>0</v>
      </c>
      <c r="AG169" s="63"/>
      <c r="AH169" s="63"/>
      <c r="AI169" s="63"/>
      <c r="AJ169" s="75">
        <f t="shared" si="300"/>
        <v>0</v>
      </c>
      <c r="AL169" s="63"/>
      <c r="AM169" s="63"/>
      <c r="AN169" s="63"/>
      <c r="AO169" s="63"/>
      <c r="AP169" s="75">
        <f t="shared" si="301"/>
        <v>0</v>
      </c>
      <c r="AR169" s="75">
        <f t="shared" si="302"/>
        <v>0</v>
      </c>
      <c r="AS169" s="75">
        <f t="shared" si="294"/>
        <v>0</v>
      </c>
      <c r="AT169" s="75">
        <f t="shared" si="294"/>
        <v>0</v>
      </c>
      <c r="AU169" s="75">
        <f t="shared" si="294"/>
        <v>0</v>
      </c>
      <c r="AV169" s="75">
        <f t="shared" si="303"/>
        <v>0</v>
      </c>
    </row>
    <row r="170" spans="1:48" x14ac:dyDescent="0.25">
      <c r="A170" s="33" t="s">
        <v>122</v>
      </c>
      <c r="B170" s="64">
        <f>B68*0.0125</f>
        <v>126251.25</v>
      </c>
      <c r="C170" s="64"/>
      <c r="D170" s="64"/>
      <c r="E170" s="64"/>
      <c r="F170" s="75">
        <f t="shared" si="295"/>
        <v>126251.25</v>
      </c>
      <c r="H170" s="64">
        <f>H68*0.0125</f>
        <v>126251.25</v>
      </c>
      <c r="I170" s="64"/>
      <c r="J170" s="64"/>
      <c r="K170" s="64"/>
      <c r="L170" s="75">
        <f t="shared" si="296"/>
        <v>126251.25</v>
      </c>
      <c r="N170" s="64">
        <f>N68*0.0125</f>
        <v>308382.1875</v>
      </c>
      <c r="O170" s="64"/>
      <c r="P170" s="64"/>
      <c r="Q170" s="64"/>
      <c r="R170" s="75">
        <f t="shared" si="297"/>
        <v>308382.1875</v>
      </c>
      <c r="T170" s="64">
        <f>T68*0.0125</f>
        <v>65950.3125</v>
      </c>
      <c r="U170" s="64"/>
      <c r="V170" s="64"/>
      <c r="W170" s="64"/>
      <c r="X170" s="75">
        <f t="shared" si="298"/>
        <v>65950.3125</v>
      </c>
      <c r="Y170" s="194"/>
      <c r="Z170" s="64">
        <f>Z68*0.0125</f>
        <v>108443.4375</v>
      </c>
      <c r="AA170" s="64"/>
      <c r="AB170" s="64"/>
      <c r="AC170" s="64"/>
      <c r="AD170" s="75">
        <f t="shared" si="299"/>
        <v>108443.4375</v>
      </c>
      <c r="AE170" s="194"/>
      <c r="AF170" s="64">
        <f>AF68*0.0125</f>
        <v>114092.8125</v>
      </c>
      <c r="AG170" s="64"/>
      <c r="AH170" s="64"/>
      <c r="AI170" s="64"/>
      <c r="AJ170" s="75">
        <f t="shared" si="300"/>
        <v>114092.8125</v>
      </c>
      <c r="AL170" s="64"/>
      <c r="AM170" s="64"/>
      <c r="AN170" s="64"/>
      <c r="AO170" s="64"/>
      <c r="AP170" s="75">
        <f t="shared" si="301"/>
        <v>0</v>
      </c>
      <c r="AR170" s="75">
        <f t="shared" si="302"/>
        <v>849371.25</v>
      </c>
      <c r="AS170" s="75">
        <f t="shared" si="294"/>
        <v>0</v>
      </c>
      <c r="AT170" s="75">
        <f t="shared" si="294"/>
        <v>0</v>
      </c>
      <c r="AU170" s="75">
        <f t="shared" si="294"/>
        <v>0</v>
      </c>
      <c r="AV170" s="75">
        <f t="shared" si="303"/>
        <v>849371.25</v>
      </c>
    </row>
    <row r="171" spans="1:48" x14ac:dyDescent="0.25">
      <c r="A171" s="34"/>
      <c r="B171" s="76">
        <f>SUM(B162:B170)</f>
        <v>822632.68630000006</v>
      </c>
      <c r="C171" s="76">
        <f t="shared" ref="C171:F171" si="304">SUM(C162:C170)</f>
        <v>0</v>
      </c>
      <c r="D171" s="76">
        <f t="shared" si="304"/>
        <v>0</v>
      </c>
      <c r="E171" s="76">
        <f t="shared" si="304"/>
        <v>0</v>
      </c>
      <c r="F171" s="76">
        <f t="shared" si="304"/>
        <v>822632.68630000006</v>
      </c>
      <c r="H171" s="76">
        <f>SUM(H162:H170)</f>
        <v>822632.68630000006</v>
      </c>
      <c r="I171" s="76">
        <f t="shared" ref="I171:L171" si="305">SUM(I162:I170)</f>
        <v>0</v>
      </c>
      <c r="J171" s="76">
        <f t="shared" si="305"/>
        <v>0</v>
      </c>
      <c r="K171" s="76">
        <f t="shared" si="305"/>
        <v>0</v>
      </c>
      <c r="L171" s="76">
        <f t="shared" si="305"/>
        <v>822632.68630000006</v>
      </c>
      <c r="N171" s="76">
        <f>SUM(N162:N170)</f>
        <v>1972417.6485000001</v>
      </c>
      <c r="O171" s="76">
        <f t="shared" ref="O171:R171" si="306">SUM(O162:O170)</f>
        <v>0</v>
      </c>
      <c r="P171" s="76">
        <f t="shared" si="306"/>
        <v>0</v>
      </c>
      <c r="Q171" s="76">
        <f t="shared" si="306"/>
        <v>0</v>
      </c>
      <c r="R171" s="76">
        <f t="shared" si="306"/>
        <v>1972417.6485000001</v>
      </c>
      <c r="T171" s="76">
        <f>SUM(T162:T170)</f>
        <v>428938.14529999997</v>
      </c>
      <c r="U171" s="76">
        <f t="shared" ref="U171:X171" si="307">SUM(U162:U170)</f>
        <v>0</v>
      </c>
      <c r="V171" s="76">
        <f t="shared" si="307"/>
        <v>0</v>
      </c>
      <c r="W171" s="76">
        <f t="shared" si="307"/>
        <v>0</v>
      </c>
      <c r="X171" s="76">
        <f t="shared" si="307"/>
        <v>428938.14529999997</v>
      </c>
      <c r="Y171" s="199"/>
      <c r="Z171" s="76">
        <f>SUM(Z162:Z170)</f>
        <v>696013.9375</v>
      </c>
      <c r="AA171" s="76">
        <f t="shared" ref="AA171:AD171" si="308">SUM(AA162:AA170)</f>
        <v>0</v>
      </c>
      <c r="AB171" s="76">
        <f t="shared" si="308"/>
        <v>0</v>
      </c>
      <c r="AC171" s="76">
        <f t="shared" si="308"/>
        <v>0</v>
      </c>
      <c r="AD171" s="76">
        <f t="shared" si="308"/>
        <v>696013.9375</v>
      </c>
      <c r="AE171" s="199"/>
      <c r="AF171" s="76">
        <f>SUM(AF162:AF170)</f>
        <v>691447.3125</v>
      </c>
      <c r="AG171" s="76">
        <f t="shared" ref="AG171:AJ171" si="309">SUM(AG162:AG170)</f>
        <v>0</v>
      </c>
      <c r="AH171" s="76">
        <f t="shared" si="309"/>
        <v>0</v>
      </c>
      <c r="AI171" s="76">
        <f t="shared" si="309"/>
        <v>0</v>
      </c>
      <c r="AJ171" s="76">
        <f t="shared" si="309"/>
        <v>691447.3125</v>
      </c>
      <c r="AL171" s="76">
        <f>SUM(AL162:AL170)</f>
        <v>10927.27</v>
      </c>
      <c r="AM171" s="76">
        <f t="shared" ref="AM171:AP171" si="310">SUM(AM162:AM170)</f>
        <v>0</v>
      </c>
      <c r="AN171" s="76">
        <f t="shared" si="310"/>
        <v>0</v>
      </c>
      <c r="AO171" s="76">
        <f t="shared" si="310"/>
        <v>0</v>
      </c>
      <c r="AP171" s="76">
        <f t="shared" si="310"/>
        <v>10927.27</v>
      </c>
      <c r="AR171" s="76">
        <f>SUM(AR162:AR170)</f>
        <v>5445009.6864</v>
      </c>
      <c r="AS171" s="76">
        <f t="shared" ref="AS171:AV171" si="311">SUM(AS162:AS170)</f>
        <v>0</v>
      </c>
      <c r="AT171" s="76">
        <f t="shared" si="311"/>
        <v>0</v>
      </c>
      <c r="AU171" s="76">
        <f t="shared" si="311"/>
        <v>0</v>
      </c>
      <c r="AV171" s="76">
        <f t="shared" si="311"/>
        <v>5445009.6864</v>
      </c>
    </row>
    <row r="172" spans="1:48" x14ac:dyDescent="0.25">
      <c r="B172" s="77"/>
      <c r="C172" s="77"/>
      <c r="D172" s="77"/>
      <c r="E172" s="77"/>
      <c r="F172" s="77"/>
      <c r="H172" s="77"/>
      <c r="I172" s="77"/>
      <c r="J172" s="77"/>
      <c r="K172" s="77"/>
      <c r="L172" s="77"/>
      <c r="N172" s="77"/>
      <c r="O172" s="77"/>
      <c r="P172" s="77"/>
      <c r="Q172" s="77"/>
      <c r="R172" s="77"/>
      <c r="T172" s="77"/>
      <c r="U172" s="77"/>
      <c r="V172" s="77"/>
      <c r="W172" s="77"/>
      <c r="X172" s="77"/>
      <c r="Y172" s="79"/>
      <c r="Z172" s="77"/>
      <c r="AA172" s="77"/>
      <c r="AB172" s="77"/>
      <c r="AC172" s="77"/>
      <c r="AD172" s="77"/>
      <c r="AE172" s="79"/>
      <c r="AF172" s="77"/>
      <c r="AG172" s="77"/>
      <c r="AH172" s="77"/>
      <c r="AI172" s="77"/>
      <c r="AJ172" s="77"/>
      <c r="AL172" s="77"/>
      <c r="AM172" s="77"/>
      <c r="AN172" s="77"/>
      <c r="AO172" s="77"/>
      <c r="AP172" s="77"/>
      <c r="AR172" s="77"/>
      <c r="AS172" s="77"/>
      <c r="AT172" s="77"/>
      <c r="AU172" s="77"/>
      <c r="AV172" s="77"/>
    </row>
    <row r="173" spans="1:48" x14ac:dyDescent="0.25">
      <c r="A173" s="28"/>
      <c r="B173" s="78" t="s">
        <v>157</v>
      </c>
      <c r="C173" s="78" t="s">
        <v>158</v>
      </c>
      <c r="D173" s="78" t="s">
        <v>159</v>
      </c>
      <c r="E173" s="78" t="str">
        <f>E161</f>
        <v>Other</v>
      </c>
      <c r="F173" s="78" t="str">
        <f>F161</f>
        <v>FY29- Mtn</v>
      </c>
      <c r="H173" s="78" t="s">
        <v>157</v>
      </c>
      <c r="I173" s="78" t="s">
        <v>158</v>
      </c>
      <c r="J173" s="78" t="s">
        <v>159</v>
      </c>
      <c r="K173" s="78" t="str">
        <f>K161</f>
        <v>Other</v>
      </c>
      <c r="L173" s="78" t="str">
        <f>L161</f>
        <v>FY29- Bon</v>
      </c>
      <c r="N173" s="78" t="s">
        <v>157</v>
      </c>
      <c r="O173" s="78" t="s">
        <v>158</v>
      </c>
      <c r="P173" s="78" t="s">
        <v>159</v>
      </c>
      <c r="Q173" s="78" t="str">
        <f>Q161</f>
        <v>Other</v>
      </c>
      <c r="R173" s="78" t="str">
        <f>R161</f>
        <v>FY29- East</v>
      </c>
      <c r="T173" s="78" t="s">
        <v>157</v>
      </c>
      <c r="U173" s="78" t="s">
        <v>158</v>
      </c>
      <c r="V173" s="78" t="s">
        <v>159</v>
      </c>
      <c r="W173" s="78" t="str">
        <f>W161</f>
        <v>Other</v>
      </c>
      <c r="X173" s="78" t="str">
        <f>X161</f>
        <v>FY29- Cactus</v>
      </c>
      <c r="Y173" s="201"/>
      <c r="Z173" s="78" t="s">
        <v>157</v>
      </c>
      <c r="AA173" s="78" t="s">
        <v>158</v>
      </c>
      <c r="AB173" s="78" t="s">
        <v>159</v>
      </c>
      <c r="AC173" s="78" t="str">
        <f>AC161</f>
        <v>Other</v>
      </c>
      <c r="AD173" s="78" t="str">
        <f>AD161</f>
        <v>FY29- Sahara</v>
      </c>
      <c r="AE173" s="201"/>
      <c r="AF173" s="78" t="s">
        <v>157</v>
      </c>
      <c r="AG173" s="78" t="s">
        <v>158</v>
      </c>
      <c r="AH173" s="78" t="s">
        <v>159</v>
      </c>
      <c r="AI173" s="78" t="str">
        <f>AI161</f>
        <v>Other</v>
      </c>
      <c r="AJ173" s="78" t="str">
        <f>AJ161</f>
        <v>FY29- VV</v>
      </c>
      <c r="AL173" s="78" t="s">
        <v>157</v>
      </c>
      <c r="AM173" s="78" t="s">
        <v>158</v>
      </c>
      <c r="AN173" s="78" t="s">
        <v>159</v>
      </c>
      <c r="AO173" s="78" t="str">
        <f>AO161</f>
        <v>Grant</v>
      </c>
      <c r="AP173" s="78" t="str">
        <f>AP161</f>
        <v>FY29 - Central</v>
      </c>
      <c r="AR173" s="78" t="s">
        <v>157</v>
      </c>
      <c r="AS173" s="78" t="s">
        <v>158</v>
      </c>
      <c r="AT173" s="78" t="s">
        <v>159</v>
      </c>
      <c r="AU173" s="78" t="str">
        <f>AU161</f>
        <v>Other</v>
      </c>
      <c r="AV173" s="78" t="str">
        <f>AV161</f>
        <v>FY29- Sys</v>
      </c>
    </row>
    <row r="174" spans="1:48" x14ac:dyDescent="0.25">
      <c r="A174" s="35" t="s">
        <v>123</v>
      </c>
      <c r="B174" s="75">
        <f>((400*12)+7800)*1.02*1.01*1.01</f>
        <v>13110.325200000001</v>
      </c>
      <c r="C174" s="75"/>
      <c r="D174" s="75"/>
      <c r="E174" s="75"/>
      <c r="F174" s="75">
        <f>SUM(B174:E174)</f>
        <v>13110.325200000001</v>
      </c>
      <c r="H174" s="75">
        <f>((400*12)+7800)*1.01*1.02*1.02</f>
        <v>13240.1304</v>
      </c>
      <c r="I174" s="75"/>
      <c r="J174" s="75"/>
      <c r="K174" s="75"/>
      <c r="L174" s="75">
        <f>SUM(H174:K174)</f>
        <v>13240.1304</v>
      </c>
      <c r="N174" s="75">
        <f>(9600+17400)*1.02*1.02*1.02</f>
        <v>28652.615999999998</v>
      </c>
      <c r="O174" s="75"/>
      <c r="P174" s="75"/>
      <c r="Q174" s="75"/>
      <c r="R174" s="75">
        <f>SUM(N174:Q174)</f>
        <v>28652.615999999998</v>
      </c>
      <c r="T174" s="60">
        <f>((1060*12)+(60*12))*1.03*1.02*1.02</f>
        <v>14402.46528</v>
      </c>
      <c r="U174" s="75"/>
      <c r="V174" s="75"/>
      <c r="W174" s="75"/>
      <c r="X174" s="75">
        <f>SUM(T174:W174)</f>
        <v>14402.46528</v>
      </c>
      <c r="Y174" s="194"/>
      <c r="Z174" s="60">
        <f>((1160*12)+(65*12))*1.03*1.03</f>
        <v>15595.23</v>
      </c>
      <c r="AA174" s="75"/>
      <c r="AB174" s="75"/>
      <c r="AC174" s="75"/>
      <c r="AD174" s="75">
        <f>SUM(Z174:AC174)</f>
        <v>15595.23</v>
      </c>
      <c r="AE174" s="194"/>
      <c r="AF174" s="60">
        <f>((1060*12)+(60*12))*1.03*1.02</f>
        <v>14120.064</v>
      </c>
      <c r="AG174" s="75"/>
      <c r="AH174" s="75"/>
      <c r="AI174" s="75"/>
      <c r="AJ174" s="75">
        <f>SUM(AF174:AI174)</f>
        <v>14120.064</v>
      </c>
      <c r="AL174" s="60"/>
      <c r="AM174" s="60"/>
      <c r="AN174" s="60"/>
      <c r="AO174" s="60"/>
      <c r="AP174" s="75">
        <f>SUM(AL174:AO174)</f>
        <v>0</v>
      </c>
      <c r="AR174" s="60">
        <f>B174+H174+N174+T174+AL174+AF174+Z174</f>
        <v>99120.830879999994</v>
      </c>
      <c r="AS174" s="60">
        <f t="shared" ref="AS174:AU189" si="312">C174+I174+O174+U174+AM174+AG174+AA174</f>
        <v>0</v>
      </c>
      <c r="AT174" s="60">
        <f t="shared" si="312"/>
        <v>0</v>
      </c>
      <c r="AU174" s="60">
        <f t="shared" si="312"/>
        <v>0</v>
      </c>
      <c r="AV174" s="75">
        <f>SUM(AR174:AU174)</f>
        <v>99120.830879999994</v>
      </c>
    </row>
    <row r="175" spans="1:48" x14ac:dyDescent="0.25">
      <c r="A175" s="32" t="s">
        <v>124</v>
      </c>
      <c r="B175" s="75">
        <f>1000+200+200+200</f>
        <v>1600</v>
      </c>
      <c r="C175" s="63"/>
      <c r="D175" s="63"/>
      <c r="E175" s="63"/>
      <c r="F175" s="75">
        <f t="shared" ref="F175:F193" si="313">SUM(B175:E175)</f>
        <v>1600</v>
      </c>
      <c r="H175" s="75">
        <f>1000+200+200+200</f>
        <v>1600</v>
      </c>
      <c r="I175" s="63"/>
      <c r="J175" s="63"/>
      <c r="K175" s="63"/>
      <c r="L175" s="75">
        <f t="shared" ref="L175:L193" si="314">SUM(H175:K175)</f>
        <v>1600</v>
      </c>
      <c r="N175" s="75">
        <f>2000+200+200+200</f>
        <v>2600</v>
      </c>
      <c r="O175" s="63"/>
      <c r="P175" s="63"/>
      <c r="Q175" s="63"/>
      <c r="R175" s="75">
        <f t="shared" ref="R175:R193" si="315">SUM(N175:Q175)</f>
        <v>2600</v>
      </c>
      <c r="T175" s="60">
        <f>500+150+150+150</f>
        <v>950</v>
      </c>
      <c r="U175" s="63"/>
      <c r="V175" s="63"/>
      <c r="W175" s="63"/>
      <c r="X175" s="75">
        <f t="shared" ref="X175:X193" si="316">SUM(T175:W175)</f>
        <v>950</v>
      </c>
      <c r="Y175" s="194"/>
      <c r="Z175" s="60">
        <f>500+150+150+200</f>
        <v>1000</v>
      </c>
      <c r="AA175" s="63"/>
      <c r="AB175" s="63"/>
      <c r="AC175" s="63"/>
      <c r="AD175" s="75">
        <f t="shared" ref="AD175:AD193" si="317">SUM(Z175:AC175)</f>
        <v>1000</v>
      </c>
      <c r="AE175" s="194"/>
      <c r="AF175" s="60">
        <f>500+150+150</f>
        <v>800</v>
      </c>
      <c r="AG175" s="63"/>
      <c r="AH175" s="63"/>
      <c r="AI175" s="63"/>
      <c r="AJ175" s="75">
        <f t="shared" ref="AJ175:AJ193" si="318">SUM(AF175:AI175)</f>
        <v>800</v>
      </c>
      <c r="AL175" s="60"/>
      <c r="AM175" s="61"/>
      <c r="AN175" s="61"/>
      <c r="AO175" s="61"/>
      <c r="AP175" s="75">
        <f t="shared" ref="AP175:AP193" si="319">SUM(AL175:AO175)</f>
        <v>0</v>
      </c>
      <c r="AR175" s="60">
        <f t="shared" ref="AR175:AU193" si="320">B175+H175+N175+T175+AL175+AF175+Z175</f>
        <v>8550</v>
      </c>
      <c r="AS175" s="60">
        <f t="shared" si="312"/>
        <v>0</v>
      </c>
      <c r="AT175" s="60">
        <f t="shared" si="312"/>
        <v>0</v>
      </c>
      <c r="AU175" s="60">
        <f t="shared" si="312"/>
        <v>0</v>
      </c>
      <c r="AV175" s="75">
        <f t="shared" ref="AV175:AV193" si="321">SUM(AR175:AU175)</f>
        <v>8550</v>
      </c>
    </row>
    <row r="176" spans="1:48" x14ac:dyDescent="0.25">
      <c r="A176" s="32" t="s">
        <v>125</v>
      </c>
      <c r="B176" s="60">
        <f>6500+250+250+250</f>
        <v>7250</v>
      </c>
      <c r="C176" s="63"/>
      <c r="D176" s="63"/>
      <c r="E176" s="63"/>
      <c r="F176" s="75">
        <f t="shared" si="313"/>
        <v>7250</v>
      </c>
      <c r="H176" s="60">
        <f>6500+250+250+200</f>
        <v>7200</v>
      </c>
      <c r="I176" s="63"/>
      <c r="J176" s="63"/>
      <c r="K176" s="63"/>
      <c r="L176" s="75">
        <f t="shared" si="314"/>
        <v>7200</v>
      </c>
      <c r="N176" s="60">
        <f>6500+500+500+500</f>
        <v>8000</v>
      </c>
      <c r="O176" s="63"/>
      <c r="P176" s="63"/>
      <c r="Q176" s="63"/>
      <c r="R176" s="75">
        <f t="shared" si="315"/>
        <v>8000</v>
      </c>
      <c r="T176" s="60">
        <f>6500+500+500+500</f>
        <v>8000</v>
      </c>
      <c r="U176" s="63"/>
      <c r="V176" s="63"/>
      <c r="W176" s="63"/>
      <c r="X176" s="75">
        <f t="shared" si="316"/>
        <v>8000</v>
      </c>
      <c r="Y176" s="194"/>
      <c r="Z176" s="60">
        <f>6500+500+500+500</f>
        <v>8000</v>
      </c>
      <c r="AA176" s="63"/>
      <c r="AB176" s="63"/>
      <c r="AC176" s="63"/>
      <c r="AD176" s="75">
        <f t="shared" si="317"/>
        <v>8000</v>
      </c>
      <c r="AE176" s="194"/>
      <c r="AF176" s="60">
        <f>6500+500+500</f>
        <v>7500</v>
      </c>
      <c r="AG176" s="63"/>
      <c r="AH176" s="63"/>
      <c r="AI176" s="63"/>
      <c r="AJ176" s="75">
        <f t="shared" si="318"/>
        <v>7500</v>
      </c>
      <c r="AL176" s="60"/>
      <c r="AM176" s="61"/>
      <c r="AN176" s="61"/>
      <c r="AO176" s="61"/>
      <c r="AP176" s="75">
        <f t="shared" si="319"/>
        <v>0</v>
      </c>
      <c r="AR176" s="60">
        <f t="shared" si="320"/>
        <v>45950</v>
      </c>
      <c r="AS176" s="60">
        <f t="shared" si="312"/>
        <v>0</v>
      </c>
      <c r="AT176" s="60">
        <f t="shared" si="312"/>
        <v>0</v>
      </c>
      <c r="AU176" s="60">
        <f t="shared" si="312"/>
        <v>0</v>
      </c>
      <c r="AV176" s="75">
        <f t="shared" si="321"/>
        <v>45950</v>
      </c>
    </row>
    <row r="177" spans="1:48" x14ac:dyDescent="0.25">
      <c r="A177" s="32" t="s">
        <v>126</v>
      </c>
      <c r="B177" s="60">
        <f>39000+500+500+500</f>
        <v>40500</v>
      </c>
      <c r="C177" s="63"/>
      <c r="D177" s="63"/>
      <c r="E177" s="63"/>
      <c r="F177" s="75">
        <f t="shared" si="313"/>
        <v>40500</v>
      </c>
      <c r="H177" s="60">
        <f>39000+500+500+500</f>
        <v>40500</v>
      </c>
      <c r="I177" s="63"/>
      <c r="J177" s="63"/>
      <c r="K177" s="63"/>
      <c r="L177" s="75">
        <f t="shared" si="314"/>
        <v>40500</v>
      </c>
      <c r="N177" s="60">
        <f>100000+3000+2000+1500</f>
        <v>106500</v>
      </c>
      <c r="O177" s="63"/>
      <c r="P177" s="63"/>
      <c r="Q177" s="63"/>
      <c r="R177" s="75">
        <f t="shared" si="315"/>
        <v>106500</v>
      </c>
      <c r="T177" s="60">
        <f>17500+2500+1000+500</f>
        <v>21500</v>
      </c>
      <c r="U177" s="63"/>
      <c r="V177" s="63"/>
      <c r="W177" s="63"/>
      <c r="X177" s="75">
        <f t="shared" si="316"/>
        <v>21500</v>
      </c>
      <c r="Y177" s="194"/>
      <c r="Z177" s="60">
        <f>17500+2500+2500+10500</f>
        <v>33000</v>
      </c>
      <c r="AA177" s="63"/>
      <c r="AB177" s="63"/>
      <c r="AC177" s="63"/>
      <c r="AD177" s="75">
        <f t="shared" si="317"/>
        <v>33000</v>
      </c>
      <c r="AE177" s="194"/>
      <c r="AF177" s="60">
        <f>40000*1.03</f>
        <v>41200</v>
      </c>
      <c r="AG177" s="63"/>
      <c r="AH177" s="63"/>
      <c r="AI177" s="63"/>
      <c r="AJ177" s="75">
        <f t="shared" si="318"/>
        <v>41200</v>
      </c>
      <c r="AL177" s="60"/>
      <c r="AM177" s="61"/>
      <c r="AN177" s="61"/>
      <c r="AO177" s="61"/>
      <c r="AP177" s="75">
        <f t="shared" si="319"/>
        <v>0</v>
      </c>
      <c r="AR177" s="60">
        <f t="shared" si="320"/>
        <v>283200</v>
      </c>
      <c r="AS177" s="60">
        <f t="shared" si="312"/>
        <v>0</v>
      </c>
      <c r="AT177" s="60">
        <f t="shared" si="312"/>
        <v>0</v>
      </c>
      <c r="AU177" s="60">
        <f t="shared" si="312"/>
        <v>0</v>
      </c>
      <c r="AV177" s="75">
        <f t="shared" si="321"/>
        <v>283200</v>
      </c>
    </row>
    <row r="178" spans="1:48" x14ac:dyDescent="0.25">
      <c r="A178" s="32" t="s">
        <v>127</v>
      </c>
      <c r="B178" s="60">
        <f>((2+2.5+0.4+1.95)*B17)*1.02*1.02*1.02</f>
        <v>7472.8144944000005</v>
      </c>
      <c r="C178" s="63"/>
      <c r="D178" s="63"/>
      <c r="E178" s="63"/>
      <c r="F178" s="75">
        <f t="shared" si="313"/>
        <v>7472.8144944000005</v>
      </c>
      <c r="H178" s="60">
        <f>((2+2.5+0.4+1.95)*H17)*1.01*1.02*1.02</f>
        <v>7399.5516072</v>
      </c>
      <c r="I178" s="63"/>
      <c r="J178" s="63"/>
      <c r="K178" s="63"/>
      <c r="L178" s="75">
        <f t="shared" si="314"/>
        <v>7399.5516072</v>
      </c>
      <c r="N178" s="60">
        <f>((2+2.5+0.4+1.95)*N17)*1.02*1.02*1.02</f>
        <v>18253.149022800004</v>
      </c>
      <c r="O178" s="63"/>
      <c r="P178" s="63"/>
      <c r="Q178" s="63"/>
      <c r="R178" s="75">
        <f t="shared" si="315"/>
        <v>18253.149022800004</v>
      </c>
      <c r="T178" s="60">
        <f>((2+2.5+0.4+1.95)*T17)*1.03*1.03*1.03</f>
        <v>4019.541633150001</v>
      </c>
      <c r="U178" s="63"/>
      <c r="V178" s="63"/>
      <c r="W178" s="63"/>
      <c r="X178" s="75">
        <f t="shared" si="316"/>
        <v>4019.541633150001</v>
      </c>
      <c r="Y178" s="194"/>
      <c r="Z178" s="60">
        <f>((2+2.5+0.4+1.95)*Z17)*1.03*1.02*1.02</f>
        <v>6481.6987626</v>
      </c>
      <c r="AA178" s="63"/>
      <c r="AB178" s="63"/>
      <c r="AC178" s="63"/>
      <c r="AD178" s="75">
        <f t="shared" si="317"/>
        <v>6481.6987626</v>
      </c>
      <c r="AE178" s="194"/>
      <c r="AF178" s="60">
        <f>((2+2.5+0.4+1.95)*AF17)*1.03*1.02</f>
        <v>6685.6506900000004</v>
      </c>
      <c r="AG178" s="63"/>
      <c r="AH178" s="63"/>
      <c r="AI178" s="63"/>
      <c r="AJ178" s="75">
        <f t="shared" si="318"/>
        <v>6685.6506900000004</v>
      </c>
      <c r="AL178" s="60"/>
      <c r="AM178" s="61"/>
      <c r="AN178" s="61"/>
      <c r="AO178" s="61"/>
      <c r="AP178" s="75">
        <f t="shared" si="319"/>
        <v>0</v>
      </c>
      <c r="AR178" s="60">
        <f t="shared" si="320"/>
        <v>50312.406210150002</v>
      </c>
      <c r="AS178" s="60">
        <f t="shared" si="312"/>
        <v>0</v>
      </c>
      <c r="AT178" s="60">
        <f t="shared" si="312"/>
        <v>0</v>
      </c>
      <c r="AU178" s="60">
        <f t="shared" si="312"/>
        <v>0</v>
      </c>
      <c r="AV178" s="75">
        <f t="shared" si="321"/>
        <v>50312.406210150002</v>
      </c>
    </row>
    <row r="179" spans="1:48" x14ac:dyDescent="0.25">
      <c r="A179" s="32" t="s">
        <v>128</v>
      </c>
      <c r="B179" s="60">
        <f>174000*1.1*1.1*1.1</f>
        <v>231594.00000000009</v>
      </c>
      <c r="C179" s="63"/>
      <c r="D179" s="63"/>
      <c r="E179" s="63"/>
      <c r="F179" s="75">
        <f t="shared" si="313"/>
        <v>231594.00000000009</v>
      </c>
      <c r="H179" s="60">
        <f>174000*1.1*1.1*1.1</f>
        <v>231594.00000000009</v>
      </c>
      <c r="I179" s="63"/>
      <c r="J179" s="63"/>
      <c r="K179" s="63"/>
      <c r="L179" s="75">
        <f t="shared" si="314"/>
        <v>231594.00000000009</v>
      </c>
      <c r="N179" s="60">
        <f>425000*1.1*1.1*1.1</f>
        <v>565675.00000000012</v>
      </c>
      <c r="O179" s="63"/>
      <c r="P179" s="63"/>
      <c r="Q179" s="63"/>
      <c r="R179" s="75">
        <f t="shared" si="315"/>
        <v>565675.00000000012</v>
      </c>
      <c r="T179" s="60">
        <f>40000*1.15*1.15*1.15</f>
        <v>60834.999999999985</v>
      </c>
      <c r="U179" s="63"/>
      <c r="V179" s="63"/>
      <c r="W179" s="63"/>
      <c r="X179" s="75">
        <f t="shared" si="316"/>
        <v>60834.999999999985</v>
      </c>
      <c r="Y179" s="194"/>
      <c r="Z179" s="60">
        <v>120000</v>
      </c>
      <c r="AA179" s="63"/>
      <c r="AB179" s="63"/>
      <c r="AC179" s="63"/>
      <c r="AD179" s="75">
        <f t="shared" si="317"/>
        <v>120000</v>
      </c>
      <c r="AE179" s="194"/>
      <c r="AF179" s="60">
        <v>140000</v>
      </c>
      <c r="AG179" s="63"/>
      <c r="AH179" s="63"/>
      <c r="AI179" s="63"/>
      <c r="AJ179" s="75">
        <f t="shared" si="318"/>
        <v>140000</v>
      </c>
      <c r="AL179" s="60"/>
      <c r="AM179" s="61"/>
      <c r="AN179" s="61"/>
      <c r="AO179" s="61"/>
      <c r="AP179" s="75">
        <f t="shared" si="319"/>
        <v>0</v>
      </c>
      <c r="AR179" s="60">
        <f t="shared" si="320"/>
        <v>1349698.0000000002</v>
      </c>
      <c r="AS179" s="60">
        <f t="shared" si="312"/>
        <v>0</v>
      </c>
      <c r="AT179" s="60">
        <f t="shared" si="312"/>
        <v>0</v>
      </c>
      <c r="AU179" s="60">
        <f t="shared" si="312"/>
        <v>0</v>
      </c>
      <c r="AV179" s="75">
        <f t="shared" si="321"/>
        <v>1349698.0000000002</v>
      </c>
    </row>
    <row r="180" spans="1:48" x14ac:dyDescent="0.25">
      <c r="A180" s="32" t="s">
        <v>129</v>
      </c>
      <c r="B180" s="60">
        <v>0</v>
      </c>
      <c r="C180" s="63"/>
      <c r="D180" s="61">
        <f>2.65*950*180</f>
        <v>453150</v>
      </c>
      <c r="E180" s="63"/>
      <c r="F180" s="75">
        <f t="shared" si="313"/>
        <v>453150</v>
      </c>
      <c r="H180" s="60">
        <v>0</v>
      </c>
      <c r="I180" s="63"/>
      <c r="J180" s="61">
        <f>875*2.65*180</f>
        <v>417375</v>
      </c>
      <c r="K180" s="63"/>
      <c r="L180" s="75">
        <f t="shared" si="314"/>
        <v>417375</v>
      </c>
      <c r="N180" s="60">
        <v>0</v>
      </c>
      <c r="O180" s="63"/>
      <c r="P180" s="61">
        <f>1100*2.65*180</f>
        <v>524700</v>
      </c>
      <c r="Q180" s="63"/>
      <c r="R180" s="75">
        <f t="shared" si="315"/>
        <v>524700</v>
      </c>
      <c r="T180" s="60">
        <v>0</v>
      </c>
      <c r="U180" s="63"/>
      <c r="V180" s="61">
        <f>2.55*330*180</f>
        <v>151469.99999999997</v>
      </c>
      <c r="W180" s="63"/>
      <c r="X180" s="75">
        <f t="shared" si="316"/>
        <v>151469.99999999997</v>
      </c>
      <c r="Y180" s="194"/>
      <c r="Z180" s="60">
        <v>0</v>
      </c>
      <c r="AA180" s="63"/>
      <c r="AB180" s="61">
        <f>2.55*605*180</f>
        <v>277695</v>
      </c>
      <c r="AC180" s="63"/>
      <c r="AD180" s="75">
        <f t="shared" si="317"/>
        <v>277695</v>
      </c>
      <c r="AE180" s="194"/>
      <c r="AF180" s="60">
        <v>0</v>
      </c>
      <c r="AG180" s="63"/>
      <c r="AH180" s="61">
        <f>2.5*650*180</f>
        <v>292500</v>
      </c>
      <c r="AI180" s="63"/>
      <c r="AJ180" s="75">
        <f t="shared" si="318"/>
        <v>292500</v>
      </c>
      <c r="AL180" s="60"/>
      <c r="AM180" s="61"/>
      <c r="AN180" s="61"/>
      <c r="AO180" s="61"/>
      <c r="AP180" s="75">
        <f t="shared" si="319"/>
        <v>0</v>
      </c>
      <c r="AR180" s="60">
        <f t="shared" si="320"/>
        <v>0</v>
      </c>
      <c r="AS180" s="60">
        <f t="shared" si="312"/>
        <v>0</v>
      </c>
      <c r="AT180" s="60">
        <f t="shared" si="312"/>
        <v>2116890</v>
      </c>
      <c r="AU180" s="60">
        <f t="shared" si="312"/>
        <v>0</v>
      </c>
      <c r="AV180" s="75">
        <f t="shared" si="321"/>
        <v>2116890</v>
      </c>
    </row>
    <row r="181" spans="1:48" x14ac:dyDescent="0.25">
      <c r="A181" s="32" t="s">
        <v>130</v>
      </c>
      <c r="B181" s="60">
        <v>0</v>
      </c>
      <c r="C181" s="63"/>
      <c r="D181" s="61">
        <f>805*4.06*180</f>
        <v>588294</v>
      </c>
      <c r="E181" s="63"/>
      <c r="F181" s="75">
        <f t="shared" si="313"/>
        <v>588294</v>
      </c>
      <c r="H181" s="60">
        <v>0</v>
      </c>
      <c r="I181" s="63"/>
      <c r="J181" s="61">
        <f>600*4.06*180</f>
        <v>438479.99999999994</v>
      </c>
      <c r="K181" s="63"/>
      <c r="L181" s="75">
        <f t="shared" si="314"/>
        <v>438479.99999999994</v>
      </c>
      <c r="N181" s="60">
        <v>0</v>
      </c>
      <c r="O181" s="63"/>
      <c r="P181" s="61">
        <f>1100*4.06*180</f>
        <v>803880</v>
      </c>
      <c r="Q181" s="63"/>
      <c r="R181" s="75">
        <f t="shared" si="315"/>
        <v>803880</v>
      </c>
      <c r="T181" s="60">
        <v>0</v>
      </c>
      <c r="U181" s="63"/>
      <c r="V181" s="61">
        <f>330*4.05*180</f>
        <v>240570</v>
      </c>
      <c r="W181" s="63"/>
      <c r="X181" s="75">
        <f t="shared" si="316"/>
        <v>240570</v>
      </c>
      <c r="Y181" s="194"/>
      <c r="Z181" s="60">
        <v>0</v>
      </c>
      <c r="AA181" s="63"/>
      <c r="AB181" s="61">
        <f>630*4.05*180</f>
        <v>459270</v>
      </c>
      <c r="AC181" s="63"/>
      <c r="AD181" s="75">
        <f t="shared" si="317"/>
        <v>459270</v>
      </c>
      <c r="AE181" s="194"/>
      <c r="AF181" s="60">
        <v>0</v>
      </c>
      <c r="AG181" s="63"/>
      <c r="AH181" s="61">
        <f>650*4*180</f>
        <v>468000</v>
      </c>
      <c r="AI181" s="63"/>
      <c r="AJ181" s="75">
        <f t="shared" si="318"/>
        <v>468000</v>
      </c>
      <c r="AL181" s="60"/>
      <c r="AM181" s="61"/>
      <c r="AN181" s="61"/>
      <c r="AO181" s="61"/>
      <c r="AP181" s="75">
        <f t="shared" si="319"/>
        <v>0</v>
      </c>
      <c r="AR181" s="60">
        <f t="shared" si="320"/>
        <v>0</v>
      </c>
      <c r="AS181" s="60">
        <f t="shared" si="312"/>
        <v>0</v>
      </c>
      <c r="AT181" s="60">
        <f t="shared" si="312"/>
        <v>2998494</v>
      </c>
      <c r="AU181" s="60">
        <f t="shared" si="312"/>
        <v>0</v>
      </c>
      <c r="AV181" s="75">
        <f t="shared" si="321"/>
        <v>2998494</v>
      </c>
    </row>
    <row r="182" spans="1:48" x14ac:dyDescent="0.25">
      <c r="A182" s="32" t="s">
        <v>131</v>
      </c>
      <c r="B182" s="60">
        <f>5000+500+500+500</f>
        <v>6500</v>
      </c>
      <c r="C182" s="63"/>
      <c r="D182" s="63"/>
      <c r="E182" s="63"/>
      <c r="F182" s="75">
        <f t="shared" si="313"/>
        <v>6500</v>
      </c>
      <c r="H182" s="60">
        <f>5000+500+500+500</f>
        <v>6500</v>
      </c>
      <c r="I182" s="63"/>
      <c r="J182" s="63"/>
      <c r="K182" s="63"/>
      <c r="L182" s="75">
        <f t="shared" si="314"/>
        <v>6500</v>
      </c>
      <c r="N182" s="60">
        <f>6000+500+500+500</f>
        <v>7500</v>
      </c>
      <c r="O182" s="63"/>
      <c r="P182" s="63"/>
      <c r="Q182" s="63"/>
      <c r="R182" s="75">
        <f t="shared" si="315"/>
        <v>7500</v>
      </c>
      <c r="T182" s="60">
        <f>5000+2500+1000+500</f>
        <v>9000</v>
      </c>
      <c r="U182" s="63"/>
      <c r="V182" s="63"/>
      <c r="W182" s="63"/>
      <c r="X182" s="75">
        <f t="shared" si="316"/>
        <v>9000</v>
      </c>
      <c r="Y182" s="194"/>
      <c r="Z182" s="60">
        <f>5000+2500+500+1000</f>
        <v>9000</v>
      </c>
      <c r="AA182" s="63"/>
      <c r="AB182" s="63"/>
      <c r="AC182" s="63"/>
      <c r="AD182" s="75">
        <f t="shared" si="317"/>
        <v>9000</v>
      </c>
      <c r="AE182" s="194"/>
      <c r="AF182" s="60">
        <f>5000+2500+250</f>
        <v>7750</v>
      </c>
      <c r="AG182" s="63"/>
      <c r="AH182" s="63"/>
      <c r="AI182" s="63"/>
      <c r="AJ182" s="75">
        <f t="shared" si="318"/>
        <v>7750</v>
      </c>
      <c r="AL182" s="60"/>
      <c r="AM182" s="61"/>
      <c r="AN182" s="61"/>
      <c r="AO182" s="61"/>
      <c r="AP182" s="75">
        <f t="shared" si="319"/>
        <v>0</v>
      </c>
      <c r="AR182" s="60">
        <f t="shared" si="320"/>
        <v>46250</v>
      </c>
      <c r="AS182" s="60">
        <f t="shared" si="312"/>
        <v>0</v>
      </c>
      <c r="AT182" s="60">
        <f t="shared" si="312"/>
        <v>0</v>
      </c>
      <c r="AU182" s="60">
        <f t="shared" si="312"/>
        <v>0</v>
      </c>
      <c r="AV182" s="75">
        <f t="shared" si="321"/>
        <v>46250</v>
      </c>
    </row>
    <row r="183" spans="1:48" x14ac:dyDescent="0.25">
      <c r="A183" s="32" t="s">
        <v>132</v>
      </c>
      <c r="B183" s="60">
        <f>1000+250+250+250</f>
        <v>1750</v>
      </c>
      <c r="C183" s="63"/>
      <c r="D183" s="63"/>
      <c r="E183" s="63"/>
      <c r="F183" s="75">
        <f t="shared" si="313"/>
        <v>1750</v>
      </c>
      <c r="H183" s="60">
        <f>1000+250+200+200</f>
        <v>1650</v>
      </c>
      <c r="I183" s="63"/>
      <c r="J183" s="63"/>
      <c r="K183" s="63"/>
      <c r="L183" s="75">
        <f t="shared" si="314"/>
        <v>1650</v>
      </c>
      <c r="N183" s="60">
        <f>2000+250+250+250</f>
        <v>2750</v>
      </c>
      <c r="O183" s="63"/>
      <c r="P183" s="63"/>
      <c r="Q183" s="63"/>
      <c r="R183" s="75">
        <f t="shared" si="315"/>
        <v>2750</v>
      </c>
      <c r="T183" s="60">
        <f>1000+100+100+250</f>
        <v>1450</v>
      </c>
      <c r="U183" s="63"/>
      <c r="V183" s="63"/>
      <c r="W183" s="63"/>
      <c r="X183" s="75">
        <f t="shared" si="316"/>
        <v>1450</v>
      </c>
      <c r="Y183" s="194"/>
      <c r="Z183" s="60">
        <f>1000+100+100+100</f>
        <v>1300</v>
      </c>
      <c r="AA183" s="63"/>
      <c r="AB183" s="63"/>
      <c r="AC183" s="63"/>
      <c r="AD183" s="75">
        <f t="shared" si="317"/>
        <v>1300</v>
      </c>
      <c r="AE183" s="194"/>
      <c r="AF183" s="60">
        <f>1000+100+100</f>
        <v>1200</v>
      </c>
      <c r="AG183" s="63"/>
      <c r="AH183" s="63"/>
      <c r="AI183" s="63"/>
      <c r="AJ183" s="75">
        <f t="shared" si="318"/>
        <v>1200</v>
      </c>
      <c r="AL183" s="60"/>
      <c r="AM183" s="61"/>
      <c r="AN183" s="61"/>
      <c r="AO183" s="61"/>
      <c r="AP183" s="75">
        <f t="shared" si="319"/>
        <v>0</v>
      </c>
      <c r="AR183" s="60">
        <f t="shared" si="320"/>
        <v>10100</v>
      </c>
      <c r="AS183" s="60">
        <f t="shared" si="312"/>
        <v>0</v>
      </c>
      <c r="AT183" s="60">
        <f t="shared" si="312"/>
        <v>0</v>
      </c>
      <c r="AU183" s="60">
        <f t="shared" si="312"/>
        <v>0</v>
      </c>
      <c r="AV183" s="75">
        <f t="shared" si="321"/>
        <v>10100</v>
      </c>
    </row>
    <row r="184" spans="1:48" x14ac:dyDescent="0.25">
      <c r="A184" s="32" t="s">
        <v>133</v>
      </c>
      <c r="B184" s="60">
        <f>1000+100+100+100</f>
        <v>1300</v>
      </c>
      <c r="C184" s="63"/>
      <c r="D184" s="63"/>
      <c r="E184" s="63"/>
      <c r="F184" s="75">
        <f t="shared" si="313"/>
        <v>1300</v>
      </c>
      <c r="H184" s="60">
        <f>1000+100+100+100</f>
        <v>1300</v>
      </c>
      <c r="I184" s="63"/>
      <c r="J184" s="63"/>
      <c r="K184" s="63"/>
      <c r="L184" s="75">
        <f t="shared" si="314"/>
        <v>1300</v>
      </c>
      <c r="N184" s="60">
        <f>2000+200+200+200</f>
        <v>2600</v>
      </c>
      <c r="O184" s="63"/>
      <c r="P184" s="63"/>
      <c r="Q184" s="63"/>
      <c r="R184" s="75">
        <f t="shared" si="315"/>
        <v>2600</v>
      </c>
      <c r="T184" s="60">
        <f>1000+100+100+100</f>
        <v>1300</v>
      </c>
      <c r="U184" s="63"/>
      <c r="V184" s="63"/>
      <c r="W184" s="63"/>
      <c r="X184" s="75">
        <f t="shared" si="316"/>
        <v>1300</v>
      </c>
      <c r="Y184" s="194"/>
      <c r="Z184" s="60">
        <f>1000+100+100+100</f>
        <v>1300</v>
      </c>
      <c r="AA184" s="63"/>
      <c r="AB184" s="63"/>
      <c r="AC184" s="63"/>
      <c r="AD184" s="75">
        <f t="shared" si="317"/>
        <v>1300</v>
      </c>
      <c r="AE184" s="194"/>
      <c r="AF184" s="60">
        <f>1000+100+100</f>
        <v>1200</v>
      </c>
      <c r="AG184" s="63"/>
      <c r="AH184" s="63"/>
      <c r="AI184" s="63"/>
      <c r="AJ184" s="75">
        <f t="shared" si="318"/>
        <v>1200</v>
      </c>
      <c r="AL184" s="60"/>
      <c r="AM184" s="61"/>
      <c r="AN184" s="61"/>
      <c r="AO184" s="61"/>
      <c r="AP184" s="75">
        <f t="shared" si="319"/>
        <v>0</v>
      </c>
      <c r="AR184" s="60">
        <f t="shared" si="320"/>
        <v>9000</v>
      </c>
      <c r="AS184" s="60">
        <f t="shared" si="312"/>
        <v>0</v>
      </c>
      <c r="AT184" s="60">
        <f t="shared" si="312"/>
        <v>0</v>
      </c>
      <c r="AU184" s="60">
        <f t="shared" si="312"/>
        <v>0</v>
      </c>
      <c r="AV184" s="75">
        <f t="shared" si="321"/>
        <v>9000</v>
      </c>
    </row>
    <row r="185" spans="1:48" x14ac:dyDescent="0.25">
      <c r="A185" s="32" t="s">
        <v>134</v>
      </c>
      <c r="B185" s="63">
        <f>(10*1050)+1200+3000+4500</f>
        <v>19200</v>
      </c>
      <c r="C185" s="63"/>
      <c r="D185" s="63"/>
      <c r="E185" s="63"/>
      <c r="F185" s="75">
        <f t="shared" si="313"/>
        <v>19200</v>
      </c>
      <c r="H185" s="63">
        <f>(10*1050)+1200+3000+5500</f>
        <v>20200</v>
      </c>
      <c r="I185" s="63"/>
      <c r="J185" s="63"/>
      <c r="K185" s="63"/>
      <c r="L185" s="75">
        <f t="shared" si="314"/>
        <v>20200</v>
      </c>
      <c r="N185" s="63">
        <f>(10*2500)+1200+3000+5500+8000</f>
        <v>42700</v>
      </c>
      <c r="O185" s="63"/>
      <c r="P185" s="63"/>
      <c r="Q185" s="63"/>
      <c r="R185" s="75">
        <f t="shared" si="315"/>
        <v>42700</v>
      </c>
      <c r="T185" s="63">
        <f>((10*1050)+1200+3500)*1.03*1.03*1.02</f>
        <v>16448.193600000002</v>
      </c>
      <c r="U185" s="63"/>
      <c r="V185" s="63"/>
      <c r="W185" s="63"/>
      <c r="X185" s="75">
        <f t="shared" si="316"/>
        <v>16448.193600000002</v>
      </c>
      <c r="Y185" s="194"/>
      <c r="Z185" s="63">
        <f>((10*1050)+1200+3500)*1.03</f>
        <v>15656</v>
      </c>
      <c r="AA185" s="63"/>
      <c r="AB185" s="63"/>
      <c r="AC185" s="63"/>
      <c r="AD185" s="75">
        <f t="shared" si="317"/>
        <v>15656</v>
      </c>
      <c r="AE185" s="194"/>
      <c r="AF185" s="63">
        <f>((9*1050)+1200+2500+3500)*1.03*1.01</f>
        <v>17320.994999999999</v>
      </c>
      <c r="AG185" s="63"/>
      <c r="AH185" s="63"/>
      <c r="AI185" s="63"/>
      <c r="AJ185" s="75">
        <f t="shared" si="318"/>
        <v>17320.994999999999</v>
      </c>
      <c r="AL185" s="61"/>
      <c r="AM185" s="61"/>
      <c r="AN185" s="61"/>
      <c r="AO185" s="61"/>
      <c r="AP185" s="75">
        <f t="shared" si="319"/>
        <v>0</v>
      </c>
      <c r="AR185" s="60">
        <f t="shared" si="320"/>
        <v>131525.18859999999</v>
      </c>
      <c r="AS185" s="60">
        <f t="shared" si="312"/>
        <v>0</v>
      </c>
      <c r="AT185" s="60">
        <f t="shared" si="312"/>
        <v>0</v>
      </c>
      <c r="AU185" s="60">
        <f t="shared" si="312"/>
        <v>0</v>
      </c>
      <c r="AV185" s="75">
        <f t="shared" si="321"/>
        <v>131525.18859999999</v>
      </c>
    </row>
    <row r="186" spans="1:48" x14ac:dyDescent="0.25">
      <c r="A186" s="32" t="s">
        <v>135</v>
      </c>
      <c r="B186" s="63"/>
      <c r="C186" s="63"/>
      <c r="D186" s="63"/>
      <c r="E186" s="63"/>
      <c r="F186" s="75">
        <f t="shared" si="313"/>
        <v>0</v>
      </c>
      <c r="H186" s="63"/>
      <c r="I186" s="63"/>
      <c r="J186" s="63"/>
      <c r="K186" s="63"/>
      <c r="L186" s="75">
        <f t="shared" si="314"/>
        <v>0</v>
      </c>
      <c r="N186" s="63">
        <v>75000</v>
      </c>
      <c r="O186" s="63"/>
      <c r="P186" s="63"/>
      <c r="Q186" s="63"/>
      <c r="R186" s="75">
        <f t="shared" si="315"/>
        <v>75000</v>
      </c>
      <c r="T186" s="63"/>
      <c r="U186" s="63"/>
      <c r="V186" s="63"/>
      <c r="W186" s="63"/>
      <c r="X186" s="75">
        <f t="shared" si="316"/>
        <v>0</v>
      </c>
      <c r="Y186" s="194"/>
      <c r="Z186" s="63"/>
      <c r="AA186" s="63"/>
      <c r="AB186" s="63"/>
      <c r="AC186" s="63"/>
      <c r="AD186" s="75">
        <f t="shared" si="317"/>
        <v>0</v>
      </c>
      <c r="AE186" s="194"/>
      <c r="AF186" s="63"/>
      <c r="AG186" s="63"/>
      <c r="AH186" s="63"/>
      <c r="AI186" s="63"/>
      <c r="AJ186" s="75">
        <f t="shared" si="318"/>
        <v>0</v>
      </c>
      <c r="AL186" s="61"/>
      <c r="AM186" s="61"/>
      <c r="AN186" s="61"/>
      <c r="AO186" s="61"/>
      <c r="AP186" s="75">
        <f t="shared" si="319"/>
        <v>0</v>
      </c>
      <c r="AR186" s="60">
        <f t="shared" si="320"/>
        <v>75000</v>
      </c>
      <c r="AS186" s="60">
        <f t="shared" si="312"/>
        <v>0</v>
      </c>
      <c r="AT186" s="60">
        <f t="shared" si="312"/>
        <v>0</v>
      </c>
      <c r="AU186" s="60">
        <f t="shared" si="312"/>
        <v>0</v>
      </c>
      <c r="AV186" s="75">
        <f t="shared" si="321"/>
        <v>75000</v>
      </c>
    </row>
    <row r="187" spans="1:48" x14ac:dyDescent="0.25">
      <c r="A187" s="32" t="s">
        <v>136</v>
      </c>
      <c r="B187" s="63"/>
      <c r="C187" s="63"/>
      <c r="D187" s="63"/>
      <c r="E187" s="63"/>
      <c r="F187" s="75">
        <f t="shared" si="313"/>
        <v>0</v>
      </c>
      <c r="H187" s="63"/>
      <c r="I187" s="63"/>
      <c r="J187" s="63"/>
      <c r="K187" s="63"/>
      <c r="L187" s="75">
        <f t="shared" si="314"/>
        <v>0</v>
      </c>
      <c r="N187" s="63"/>
      <c r="O187" s="63"/>
      <c r="P187" s="63"/>
      <c r="Q187" s="63"/>
      <c r="R187" s="75">
        <f t="shared" si="315"/>
        <v>0</v>
      </c>
      <c r="T187" s="63"/>
      <c r="U187" s="63"/>
      <c r="V187" s="63"/>
      <c r="W187" s="63"/>
      <c r="X187" s="75">
        <f t="shared" si="316"/>
        <v>0</v>
      </c>
      <c r="Y187" s="194"/>
      <c r="Z187" s="63"/>
      <c r="AA187" s="63"/>
      <c r="AB187" s="63"/>
      <c r="AC187" s="63"/>
      <c r="AD187" s="75">
        <f t="shared" si="317"/>
        <v>0</v>
      </c>
      <c r="AE187" s="194"/>
      <c r="AF187" s="63"/>
      <c r="AG187" s="63"/>
      <c r="AH187" s="63"/>
      <c r="AI187" s="63"/>
      <c r="AJ187" s="75">
        <f t="shared" si="318"/>
        <v>0</v>
      </c>
      <c r="AL187" s="61"/>
      <c r="AM187" s="61"/>
      <c r="AN187" s="61"/>
      <c r="AO187" s="61"/>
      <c r="AP187" s="75">
        <f t="shared" si="319"/>
        <v>0</v>
      </c>
      <c r="AR187" s="60">
        <f t="shared" si="320"/>
        <v>0</v>
      </c>
      <c r="AS187" s="60">
        <f t="shared" si="312"/>
        <v>0</v>
      </c>
      <c r="AT187" s="60">
        <f t="shared" si="312"/>
        <v>0</v>
      </c>
      <c r="AU187" s="60">
        <f t="shared" si="312"/>
        <v>0</v>
      </c>
      <c r="AV187" s="75">
        <f t="shared" si="321"/>
        <v>0</v>
      </c>
    </row>
    <row r="188" spans="1:48" x14ac:dyDescent="0.25">
      <c r="A188" s="32" t="s">
        <v>137</v>
      </c>
      <c r="B188" s="63">
        <v>0</v>
      </c>
      <c r="C188" s="63"/>
      <c r="D188" s="63"/>
      <c r="E188" s="63"/>
      <c r="F188" s="75">
        <f t="shared" si="313"/>
        <v>0</v>
      </c>
      <c r="H188" s="63">
        <v>0</v>
      </c>
      <c r="I188" s="63"/>
      <c r="J188" s="63"/>
      <c r="K188" s="63"/>
      <c r="L188" s="75">
        <f t="shared" si="314"/>
        <v>0</v>
      </c>
      <c r="N188" s="63">
        <f>86100+205000</f>
        <v>291100</v>
      </c>
      <c r="O188" s="63"/>
      <c r="P188" s="63"/>
      <c r="Q188" s="63"/>
      <c r="R188" s="75">
        <f t="shared" si="315"/>
        <v>291100</v>
      </c>
      <c r="T188" s="63"/>
      <c r="U188" s="63"/>
      <c r="V188" s="63"/>
      <c r="W188" s="63"/>
      <c r="X188" s="75">
        <f t="shared" si="316"/>
        <v>0</v>
      </c>
      <c r="Y188" s="194"/>
      <c r="Z188" s="218">
        <v>200000</v>
      </c>
      <c r="AA188" s="63"/>
      <c r="AB188" s="63"/>
      <c r="AC188" s="63"/>
      <c r="AD188" s="75">
        <f t="shared" si="317"/>
        <v>200000</v>
      </c>
      <c r="AE188" s="194"/>
      <c r="AF188" s="63">
        <v>202000</v>
      </c>
      <c r="AG188" s="63"/>
      <c r="AH188" s="63"/>
      <c r="AI188" s="63"/>
      <c r="AJ188" s="75">
        <f t="shared" si="318"/>
        <v>202000</v>
      </c>
      <c r="AL188" s="61"/>
      <c r="AM188" s="61"/>
      <c r="AN188" s="61"/>
      <c r="AO188" s="61"/>
      <c r="AP188" s="75">
        <f t="shared" si="319"/>
        <v>0</v>
      </c>
      <c r="AR188" s="60">
        <f t="shared" si="320"/>
        <v>693100</v>
      </c>
      <c r="AS188" s="60">
        <f t="shared" si="312"/>
        <v>0</v>
      </c>
      <c r="AT188" s="60">
        <f t="shared" si="312"/>
        <v>0</v>
      </c>
      <c r="AU188" s="60">
        <f t="shared" si="312"/>
        <v>0</v>
      </c>
      <c r="AV188" s="75">
        <f t="shared" si="321"/>
        <v>693100</v>
      </c>
    </row>
    <row r="189" spans="1:48" x14ac:dyDescent="0.25">
      <c r="A189" s="32" t="s">
        <v>138</v>
      </c>
      <c r="B189" s="63"/>
      <c r="C189" s="63"/>
      <c r="D189" s="63"/>
      <c r="E189" s="63"/>
      <c r="F189" s="75">
        <f t="shared" si="313"/>
        <v>0</v>
      </c>
      <c r="H189" s="63"/>
      <c r="I189" s="63"/>
      <c r="J189" s="63"/>
      <c r="K189" s="63"/>
      <c r="L189" s="75">
        <f t="shared" si="314"/>
        <v>0</v>
      </c>
      <c r="N189" s="63"/>
      <c r="O189" s="63"/>
      <c r="P189" s="63"/>
      <c r="Q189" s="63"/>
      <c r="R189" s="75">
        <f t="shared" si="315"/>
        <v>0</v>
      </c>
      <c r="T189" s="63"/>
      <c r="U189" s="63"/>
      <c r="V189" s="63"/>
      <c r="W189" s="63"/>
      <c r="X189" s="75">
        <f t="shared" si="316"/>
        <v>0</v>
      </c>
      <c r="Y189" s="194"/>
      <c r="Z189" s="63"/>
      <c r="AA189" s="63"/>
      <c r="AB189" s="63"/>
      <c r="AC189" s="63"/>
      <c r="AD189" s="75">
        <f t="shared" si="317"/>
        <v>0</v>
      </c>
      <c r="AE189" s="194"/>
      <c r="AF189" s="63"/>
      <c r="AG189" s="63"/>
      <c r="AH189" s="63"/>
      <c r="AI189" s="63"/>
      <c r="AJ189" s="75">
        <f t="shared" si="318"/>
        <v>0</v>
      </c>
      <c r="AL189" s="61"/>
      <c r="AM189" s="61"/>
      <c r="AN189" s="61"/>
      <c r="AO189" s="61"/>
      <c r="AP189" s="75">
        <f t="shared" si="319"/>
        <v>0</v>
      </c>
      <c r="AR189" s="60">
        <f t="shared" si="320"/>
        <v>0</v>
      </c>
      <c r="AS189" s="60">
        <f t="shared" si="312"/>
        <v>0</v>
      </c>
      <c r="AT189" s="60">
        <f t="shared" si="312"/>
        <v>0</v>
      </c>
      <c r="AU189" s="60">
        <f t="shared" si="312"/>
        <v>0</v>
      </c>
      <c r="AV189" s="75">
        <f t="shared" si="321"/>
        <v>0</v>
      </c>
    </row>
    <row r="190" spans="1:48" x14ac:dyDescent="0.25">
      <c r="A190" s="32" t="s">
        <v>139</v>
      </c>
      <c r="B190" s="63"/>
      <c r="C190" s="63"/>
      <c r="D190" s="63"/>
      <c r="E190" s="63"/>
      <c r="F190" s="75">
        <f t="shared" si="313"/>
        <v>0</v>
      </c>
      <c r="H190" s="63"/>
      <c r="I190" s="63"/>
      <c r="J190" s="63"/>
      <c r="K190" s="63"/>
      <c r="L190" s="75">
        <f t="shared" si="314"/>
        <v>0</v>
      </c>
      <c r="N190" s="63"/>
      <c r="O190" s="63"/>
      <c r="P190" s="63"/>
      <c r="Q190" s="63"/>
      <c r="R190" s="75">
        <f t="shared" si="315"/>
        <v>0</v>
      </c>
      <c r="T190" s="63"/>
      <c r="U190" s="63"/>
      <c r="V190" s="63"/>
      <c r="W190" s="63"/>
      <c r="X190" s="75">
        <f t="shared" si="316"/>
        <v>0</v>
      </c>
      <c r="Y190" s="194"/>
      <c r="Z190" s="63"/>
      <c r="AA190" s="63"/>
      <c r="AB190" s="63"/>
      <c r="AC190" s="63"/>
      <c r="AD190" s="75">
        <f t="shared" si="317"/>
        <v>0</v>
      </c>
      <c r="AE190" s="194"/>
      <c r="AF190" s="63"/>
      <c r="AG190" s="63"/>
      <c r="AH190" s="63"/>
      <c r="AI190" s="63"/>
      <c r="AJ190" s="75">
        <f t="shared" si="318"/>
        <v>0</v>
      </c>
      <c r="AL190" s="61"/>
      <c r="AM190" s="61"/>
      <c r="AN190" s="61"/>
      <c r="AO190" s="61"/>
      <c r="AP190" s="75">
        <f t="shared" si="319"/>
        <v>0</v>
      </c>
      <c r="AR190" s="60">
        <f t="shared" si="320"/>
        <v>0</v>
      </c>
      <c r="AS190" s="60">
        <f t="shared" si="320"/>
        <v>0</v>
      </c>
      <c r="AT190" s="60">
        <f t="shared" si="320"/>
        <v>0</v>
      </c>
      <c r="AU190" s="60">
        <f t="shared" si="320"/>
        <v>0</v>
      </c>
      <c r="AV190" s="75">
        <f t="shared" si="321"/>
        <v>0</v>
      </c>
    </row>
    <row r="191" spans="1:48" x14ac:dyDescent="0.25">
      <c r="A191" s="32" t="s">
        <v>140</v>
      </c>
      <c r="B191" s="63"/>
      <c r="C191" s="63"/>
      <c r="D191" s="63"/>
      <c r="E191" s="63"/>
      <c r="F191" s="75">
        <f t="shared" si="313"/>
        <v>0</v>
      </c>
      <c r="H191" s="63"/>
      <c r="I191" s="63"/>
      <c r="J191" s="63"/>
      <c r="K191" s="63"/>
      <c r="L191" s="75">
        <f t="shared" si="314"/>
        <v>0</v>
      </c>
      <c r="N191" s="63"/>
      <c r="O191" s="63"/>
      <c r="P191" s="63"/>
      <c r="Q191" s="63"/>
      <c r="R191" s="75">
        <f t="shared" si="315"/>
        <v>0</v>
      </c>
      <c r="T191" s="63"/>
      <c r="U191" s="63"/>
      <c r="V191" s="63"/>
      <c r="W191" s="63"/>
      <c r="X191" s="75">
        <f t="shared" si="316"/>
        <v>0</v>
      </c>
      <c r="Y191" s="194"/>
      <c r="Z191" s="63"/>
      <c r="AA191" s="63"/>
      <c r="AB191" s="63"/>
      <c r="AC191" s="63"/>
      <c r="AD191" s="75">
        <f t="shared" si="317"/>
        <v>0</v>
      </c>
      <c r="AE191" s="194"/>
      <c r="AF191" s="63"/>
      <c r="AG191" s="63"/>
      <c r="AH191" s="63"/>
      <c r="AI191" s="63"/>
      <c r="AJ191" s="75">
        <f t="shared" si="318"/>
        <v>0</v>
      </c>
      <c r="AL191" s="61"/>
      <c r="AM191" s="61"/>
      <c r="AN191" s="61"/>
      <c r="AO191" s="61"/>
      <c r="AP191" s="75">
        <f t="shared" si="319"/>
        <v>0</v>
      </c>
      <c r="AR191" s="60">
        <f t="shared" si="320"/>
        <v>0</v>
      </c>
      <c r="AS191" s="60">
        <f t="shared" si="320"/>
        <v>0</v>
      </c>
      <c r="AT191" s="60">
        <f t="shared" si="320"/>
        <v>0</v>
      </c>
      <c r="AU191" s="60">
        <f t="shared" si="320"/>
        <v>0</v>
      </c>
      <c r="AV191" s="75">
        <f t="shared" si="321"/>
        <v>0</v>
      </c>
    </row>
    <row r="192" spans="1:48" x14ac:dyDescent="0.25">
      <c r="A192" s="32" t="s">
        <v>141</v>
      </c>
      <c r="B192" s="63">
        <v>5000</v>
      </c>
      <c r="C192" s="63"/>
      <c r="D192" s="63"/>
      <c r="E192" s="63"/>
      <c r="F192" s="75">
        <f t="shared" si="313"/>
        <v>5000</v>
      </c>
      <c r="H192" s="63">
        <v>5000</v>
      </c>
      <c r="I192" s="63"/>
      <c r="J192" s="63"/>
      <c r="K192" s="63"/>
      <c r="L192" s="75">
        <f t="shared" si="314"/>
        <v>5000</v>
      </c>
      <c r="N192" s="61">
        <v>10000</v>
      </c>
      <c r="O192" s="63"/>
      <c r="P192" s="63"/>
      <c r="Q192" s="63"/>
      <c r="R192" s="75">
        <f t="shared" si="315"/>
        <v>10000</v>
      </c>
      <c r="T192" s="63">
        <v>2000</v>
      </c>
      <c r="U192" s="63"/>
      <c r="V192" s="63"/>
      <c r="W192" s="63"/>
      <c r="X192" s="75">
        <f t="shared" si="316"/>
        <v>2000</v>
      </c>
      <c r="Y192" s="194"/>
      <c r="Z192" s="63">
        <v>2000</v>
      </c>
      <c r="AA192" s="63"/>
      <c r="AB192" s="63"/>
      <c r="AC192" s="63"/>
      <c r="AD192" s="75">
        <f t="shared" si="317"/>
        <v>2000</v>
      </c>
      <c r="AE192" s="194"/>
      <c r="AF192" s="63">
        <v>2000</v>
      </c>
      <c r="AG192" s="63"/>
      <c r="AH192" s="63"/>
      <c r="AI192" s="63"/>
      <c r="AJ192" s="75">
        <f t="shared" si="318"/>
        <v>2000</v>
      </c>
      <c r="AL192" s="61"/>
      <c r="AM192" s="61"/>
      <c r="AN192" s="61"/>
      <c r="AO192" s="61">
        <v>10000</v>
      </c>
      <c r="AP192" s="75">
        <f t="shared" si="319"/>
        <v>10000</v>
      </c>
      <c r="AR192" s="60">
        <f t="shared" si="320"/>
        <v>26000</v>
      </c>
      <c r="AS192" s="60">
        <f t="shared" si="320"/>
        <v>0</v>
      </c>
      <c r="AT192" s="60">
        <f t="shared" si="320"/>
        <v>0</v>
      </c>
      <c r="AU192" s="60">
        <f t="shared" si="320"/>
        <v>10000</v>
      </c>
      <c r="AV192" s="75">
        <f t="shared" si="321"/>
        <v>36000</v>
      </c>
    </row>
    <row r="193" spans="1:49" x14ac:dyDescent="0.25">
      <c r="A193" s="33" t="s">
        <v>142</v>
      </c>
      <c r="B193" s="64">
        <f>B68*0.0125</f>
        <v>126251.25</v>
      </c>
      <c r="C193" s="64"/>
      <c r="D193" s="64"/>
      <c r="E193" s="64"/>
      <c r="F193" s="75">
        <f t="shared" si="313"/>
        <v>126251.25</v>
      </c>
      <c r="H193" s="64">
        <f>H68*0.0125</f>
        <v>126251.25</v>
      </c>
      <c r="I193" s="64"/>
      <c r="J193" s="64"/>
      <c r="K193" s="64"/>
      <c r="L193" s="75">
        <f t="shared" si="314"/>
        <v>126251.25</v>
      </c>
      <c r="N193" s="64">
        <f>N68*0.0125</f>
        <v>308382.1875</v>
      </c>
      <c r="O193" s="64"/>
      <c r="P193" s="64"/>
      <c r="Q193" s="64"/>
      <c r="R193" s="75">
        <f t="shared" si="315"/>
        <v>308382.1875</v>
      </c>
      <c r="T193" s="64">
        <f>T68*0.0125</f>
        <v>65950.3125</v>
      </c>
      <c r="U193" s="64"/>
      <c r="V193" s="64"/>
      <c r="W193" s="64"/>
      <c r="X193" s="75">
        <f t="shared" si="316"/>
        <v>65950.3125</v>
      </c>
      <c r="Y193" s="194"/>
      <c r="Z193" s="64">
        <f>Z68*0</f>
        <v>0</v>
      </c>
      <c r="AA193" s="64"/>
      <c r="AB193" s="64"/>
      <c r="AC193" s="64"/>
      <c r="AD193" s="75">
        <f t="shared" si="317"/>
        <v>0</v>
      </c>
      <c r="AE193" s="194"/>
      <c r="AF193" s="64">
        <v>0</v>
      </c>
      <c r="AG193" s="64"/>
      <c r="AH193" s="64"/>
      <c r="AI193" s="64"/>
      <c r="AJ193" s="75">
        <f t="shared" si="318"/>
        <v>0</v>
      </c>
      <c r="AL193" s="91"/>
      <c r="AM193" s="91"/>
      <c r="AN193" s="91"/>
      <c r="AO193" s="91"/>
      <c r="AP193" s="75">
        <f t="shared" si="319"/>
        <v>0</v>
      </c>
      <c r="AR193" s="60">
        <f t="shared" si="320"/>
        <v>626835</v>
      </c>
      <c r="AS193" s="60">
        <f t="shared" si="320"/>
        <v>0</v>
      </c>
      <c r="AT193" s="60">
        <f t="shared" si="320"/>
        <v>0</v>
      </c>
      <c r="AU193" s="60">
        <f t="shared" si="320"/>
        <v>0</v>
      </c>
      <c r="AV193" s="75">
        <f t="shared" si="321"/>
        <v>626835</v>
      </c>
      <c r="AW193" s="94">
        <f>AV193/AR68</f>
        <v>9.2249855407750148E-3</v>
      </c>
    </row>
    <row r="194" spans="1:49" x14ac:dyDescent="0.25">
      <c r="A194" s="34"/>
      <c r="B194" s="76">
        <f>SUM(B174:B193)</f>
        <v>461528.38969440007</v>
      </c>
      <c r="C194" s="76">
        <f t="shared" ref="C194:F194" si="322">SUM(C174:C193)</f>
        <v>0</v>
      </c>
      <c r="D194" s="76">
        <f t="shared" si="322"/>
        <v>1041444</v>
      </c>
      <c r="E194" s="76">
        <f t="shared" si="322"/>
        <v>0</v>
      </c>
      <c r="F194" s="76">
        <f t="shared" si="322"/>
        <v>1502972.3896944001</v>
      </c>
      <c r="H194" s="76">
        <f>SUM(H174:H193)</f>
        <v>462434.93200720008</v>
      </c>
      <c r="I194" s="76">
        <f t="shared" ref="I194:L194" si="323">SUM(I174:I193)</f>
        <v>0</v>
      </c>
      <c r="J194" s="76">
        <f t="shared" si="323"/>
        <v>855855</v>
      </c>
      <c r="K194" s="76">
        <f t="shared" si="323"/>
        <v>0</v>
      </c>
      <c r="L194" s="76">
        <f t="shared" si="323"/>
        <v>1318289.9320072001</v>
      </c>
      <c r="N194" s="76">
        <f>SUM(N174:N193)</f>
        <v>1469712.9525228001</v>
      </c>
      <c r="O194" s="76">
        <f t="shared" ref="O194:R194" si="324">SUM(O174:O193)</f>
        <v>0</v>
      </c>
      <c r="P194" s="76">
        <f t="shared" si="324"/>
        <v>1328580</v>
      </c>
      <c r="Q194" s="76">
        <f t="shared" si="324"/>
        <v>0</v>
      </c>
      <c r="R194" s="76">
        <f t="shared" si="324"/>
        <v>2798292.9525228003</v>
      </c>
      <c r="T194" s="76">
        <f>SUM(T174:T193)</f>
        <v>205855.51301314999</v>
      </c>
      <c r="U194" s="76">
        <f t="shared" ref="U194:X194" si="325">SUM(U174:U193)</f>
        <v>0</v>
      </c>
      <c r="V194" s="76">
        <f t="shared" si="325"/>
        <v>392040</v>
      </c>
      <c r="W194" s="76">
        <f t="shared" si="325"/>
        <v>0</v>
      </c>
      <c r="X194" s="76">
        <f t="shared" si="325"/>
        <v>597895.51301314996</v>
      </c>
      <c r="Y194" s="199"/>
      <c r="Z194" s="76">
        <f>SUM(Z174:Z193)</f>
        <v>413332.9287626</v>
      </c>
      <c r="AA194" s="76">
        <f t="shared" ref="AA194:AD194" si="326">SUM(AA174:AA193)</f>
        <v>0</v>
      </c>
      <c r="AB194" s="76">
        <f t="shared" si="326"/>
        <v>736965</v>
      </c>
      <c r="AC194" s="76">
        <f t="shared" si="326"/>
        <v>0</v>
      </c>
      <c r="AD194" s="76">
        <f t="shared" si="326"/>
        <v>1150297.9287626001</v>
      </c>
      <c r="AE194" s="199"/>
      <c r="AF194" s="76">
        <f>SUM(AF174:AF193)</f>
        <v>441776.70968999999</v>
      </c>
      <c r="AG194" s="76">
        <f t="shared" ref="AG194:AJ194" si="327">SUM(AG174:AG193)</f>
        <v>0</v>
      </c>
      <c r="AH194" s="76">
        <f t="shared" si="327"/>
        <v>760500</v>
      </c>
      <c r="AI194" s="76">
        <f t="shared" si="327"/>
        <v>0</v>
      </c>
      <c r="AJ194" s="76">
        <f t="shared" si="327"/>
        <v>1202276.7096899999</v>
      </c>
      <c r="AL194" s="76">
        <f>SUM(AL174:AL193)</f>
        <v>0</v>
      </c>
      <c r="AM194" s="76">
        <f t="shared" ref="AM194:AP194" si="328">SUM(AM174:AM193)</f>
        <v>0</v>
      </c>
      <c r="AN194" s="76">
        <f t="shared" si="328"/>
        <v>0</v>
      </c>
      <c r="AO194" s="76">
        <f t="shared" si="328"/>
        <v>10000</v>
      </c>
      <c r="AP194" s="76">
        <f t="shared" si="328"/>
        <v>10000</v>
      </c>
      <c r="AR194" s="76">
        <f>SUM(AR174:AR193)</f>
        <v>3454641.4256901504</v>
      </c>
      <c r="AS194" s="76">
        <f t="shared" ref="AS194:AV194" si="329">SUM(AS174:AS193)</f>
        <v>0</v>
      </c>
      <c r="AT194" s="76">
        <f t="shared" si="329"/>
        <v>5115384</v>
      </c>
      <c r="AU194" s="76">
        <f t="shared" si="329"/>
        <v>10000</v>
      </c>
      <c r="AV194" s="76">
        <f t="shared" si="329"/>
        <v>8580025.4256901499</v>
      </c>
    </row>
    <row r="195" spans="1:49" x14ac:dyDescent="0.25">
      <c r="B195" s="77"/>
      <c r="C195" s="77"/>
      <c r="D195" s="77"/>
      <c r="E195" s="77"/>
      <c r="F195" s="77"/>
      <c r="H195" s="77"/>
      <c r="I195" s="77"/>
      <c r="J195" s="77"/>
      <c r="K195" s="77"/>
      <c r="L195" s="77"/>
      <c r="N195" s="77"/>
      <c r="O195" s="77"/>
      <c r="P195" s="77"/>
      <c r="Q195" s="77"/>
      <c r="R195" s="77"/>
      <c r="T195" s="77"/>
      <c r="U195" s="77"/>
      <c r="V195" s="77"/>
      <c r="W195" s="77"/>
      <c r="X195" s="77"/>
      <c r="Y195" s="79"/>
      <c r="Z195" s="77"/>
      <c r="AA195" s="77"/>
      <c r="AB195" s="77"/>
      <c r="AC195" s="77"/>
      <c r="AD195" s="77"/>
      <c r="AE195" s="79"/>
      <c r="AF195" s="77"/>
      <c r="AG195" s="77"/>
      <c r="AH195" s="77"/>
      <c r="AI195" s="77"/>
      <c r="AJ195" s="77"/>
      <c r="AL195" s="77"/>
      <c r="AM195" s="77"/>
      <c r="AN195" s="77"/>
      <c r="AO195" s="77"/>
      <c r="AP195" s="77"/>
      <c r="AR195" s="77"/>
      <c r="AS195" s="77"/>
      <c r="AT195" s="77"/>
      <c r="AU195" s="77"/>
      <c r="AV195" s="77"/>
    </row>
    <row r="196" spans="1:49" x14ac:dyDescent="0.25">
      <c r="A196" s="28"/>
      <c r="B196" s="78" t="s">
        <v>157</v>
      </c>
      <c r="C196" s="78" t="s">
        <v>158</v>
      </c>
      <c r="D196" s="78" t="s">
        <v>159</v>
      </c>
      <c r="E196" s="78" t="str">
        <f>E173</f>
        <v>Other</v>
      </c>
      <c r="F196" s="78" t="str">
        <f>F173</f>
        <v>FY29- Mtn</v>
      </c>
      <c r="H196" s="78" t="s">
        <v>157</v>
      </c>
      <c r="I196" s="78" t="s">
        <v>158</v>
      </c>
      <c r="J196" s="78" t="s">
        <v>159</v>
      </c>
      <c r="K196" s="78" t="str">
        <f>K173</f>
        <v>Other</v>
      </c>
      <c r="L196" s="78" t="str">
        <f>L173</f>
        <v>FY29- Bon</v>
      </c>
      <c r="N196" s="78" t="s">
        <v>157</v>
      </c>
      <c r="O196" s="78" t="s">
        <v>158</v>
      </c>
      <c r="P196" s="78" t="s">
        <v>159</v>
      </c>
      <c r="Q196" s="78" t="str">
        <f>Q173</f>
        <v>Other</v>
      </c>
      <c r="R196" s="78" t="str">
        <f>R173</f>
        <v>FY29- East</v>
      </c>
      <c r="T196" s="78" t="s">
        <v>157</v>
      </c>
      <c r="U196" s="78" t="s">
        <v>158</v>
      </c>
      <c r="V196" s="78" t="s">
        <v>159</v>
      </c>
      <c r="W196" s="78" t="str">
        <f>W173</f>
        <v>Other</v>
      </c>
      <c r="X196" s="78" t="str">
        <f>X173</f>
        <v>FY29- Cactus</v>
      </c>
      <c r="Y196" s="201"/>
      <c r="Z196" s="78" t="s">
        <v>157</v>
      </c>
      <c r="AA196" s="78" t="s">
        <v>158</v>
      </c>
      <c r="AB196" s="78" t="s">
        <v>159</v>
      </c>
      <c r="AC196" s="78" t="str">
        <f>AC173</f>
        <v>Other</v>
      </c>
      <c r="AD196" s="78" t="str">
        <f>AD173</f>
        <v>FY29- Sahara</v>
      </c>
      <c r="AE196" s="201"/>
      <c r="AF196" s="78" t="s">
        <v>157</v>
      </c>
      <c r="AG196" s="78" t="s">
        <v>158</v>
      </c>
      <c r="AH196" s="78" t="s">
        <v>159</v>
      </c>
      <c r="AI196" s="78" t="str">
        <f>AI173</f>
        <v>Other</v>
      </c>
      <c r="AJ196" s="78" t="str">
        <f>AJ173</f>
        <v>FY29- VV</v>
      </c>
      <c r="AL196" s="78" t="s">
        <v>157</v>
      </c>
      <c r="AM196" s="78" t="s">
        <v>158</v>
      </c>
      <c r="AN196" s="78" t="s">
        <v>159</v>
      </c>
      <c r="AO196" s="78" t="str">
        <f>AO173</f>
        <v>Grant</v>
      </c>
      <c r="AP196" s="78" t="str">
        <f>AP173</f>
        <v>FY29 - Central</v>
      </c>
      <c r="AR196" s="78" t="s">
        <v>157</v>
      </c>
      <c r="AS196" s="78" t="s">
        <v>158</v>
      </c>
      <c r="AT196" s="78" t="s">
        <v>159</v>
      </c>
      <c r="AU196" s="78" t="str">
        <f>AU173</f>
        <v>Other</v>
      </c>
      <c r="AV196" s="78" t="str">
        <f>AV173</f>
        <v>FY29- Sys</v>
      </c>
    </row>
    <row r="197" spans="1:49" x14ac:dyDescent="0.25">
      <c r="A197" s="35" t="s">
        <v>143</v>
      </c>
      <c r="B197" s="60">
        <f>95000*1.02*1.02*1.02</f>
        <v>100814.76</v>
      </c>
      <c r="C197" s="75"/>
      <c r="D197" s="75"/>
      <c r="E197" s="75"/>
      <c r="F197" s="75">
        <f>SUM(B197:E197)</f>
        <v>100814.76</v>
      </c>
      <c r="H197" s="60">
        <f>95000*1.02*1.02*1.02</f>
        <v>100814.76</v>
      </c>
      <c r="I197" s="75"/>
      <c r="J197" s="75"/>
      <c r="K197" s="75"/>
      <c r="L197" s="75">
        <f>SUM(H197:K197)</f>
        <v>100814.76</v>
      </c>
      <c r="N197" s="60">
        <f>285000*1.02*1.02*1.02</f>
        <v>302444.28000000003</v>
      </c>
      <c r="O197" s="75"/>
      <c r="P197" s="75"/>
      <c r="Q197" s="75"/>
      <c r="R197" s="75">
        <f>SUM(N197:Q197)</f>
        <v>302444.28000000003</v>
      </c>
      <c r="T197" s="60">
        <f>65000*1.03*1.03*1.02</f>
        <v>70337.67</v>
      </c>
      <c r="U197" s="75"/>
      <c r="V197" s="75"/>
      <c r="W197" s="75"/>
      <c r="X197" s="75">
        <f>SUM(T197:W197)</f>
        <v>70337.67</v>
      </c>
      <c r="Y197" s="194"/>
      <c r="Z197" s="60">
        <f>95000*1.02*1.02*1.02</f>
        <v>100814.76</v>
      </c>
      <c r="AA197" s="75"/>
      <c r="AB197" s="75"/>
      <c r="AC197" s="75"/>
      <c r="AD197" s="75">
        <f>SUM(Z197:AC197)</f>
        <v>100814.76</v>
      </c>
      <c r="AE197" s="194"/>
      <c r="AF197" s="60">
        <f>107500*1.03*1.02</f>
        <v>112939.5</v>
      </c>
      <c r="AG197" s="75"/>
      <c r="AH197" s="75"/>
      <c r="AI197" s="75"/>
      <c r="AJ197" s="75">
        <f>SUM(AF197:AI197)</f>
        <v>112939.5</v>
      </c>
      <c r="AL197" s="60"/>
      <c r="AM197" s="75"/>
      <c r="AN197" s="75"/>
      <c r="AO197" s="75"/>
      <c r="AP197" s="75">
        <f>SUM(AL197:AO197)</f>
        <v>0</v>
      </c>
      <c r="AR197" s="60">
        <f>B197+H197+N197+T197+AL197+AF197+Z197</f>
        <v>788165.7300000001</v>
      </c>
      <c r="AS197" s="60">
        <f t="shared" ref="AS197:AU206" si="330">C197+I197+O197+U197+AM197+AG197+AA197</f>
        <v>0</v>
      </c>
      <c r="AT197" s="60">
        <f t="shared" si="330"/>
        <v>0</v>
      </c>
      <c r="AU197" s="60">
        <f t="shared" si="330"/>
        <v>0</v>
      </c>
      <c r="AV197" s="75">
        <f>SUM(AR197:AU197)</f>
        <v>788165.7300000001</v>
      </c>
    </row>
    <row r="198" spans="1:49" x14ac:dyDescent="0.25">
      <c r="A198" s="32" t="s">
        <v>144</v>
      </c>
      <c r="B198" s="60">
        <v>0</v>
      </c>
      <c r="C198" s="63"/>
      <c r="D198" s="63"/>
      <c r="E198" s="63"/>
      <c r="F198" s="75">
        <f t="shared" ref="F198:F206" si="331">SUM(B198:E198)</f>
        <v>0</v>
      </c>
      <c r="H198" s="60">
        <v>0</v>
      </c>
      <c r="I198" s="63"/>
      <c r="J198" s="63"/>
      <c r="K198" s="63"/>
      <c r="L198" s="75">
        <f t="shared" ref="L198:L206" si="332">SUM(H198:K198)</f>
        <v>0</v>
      </c>
      <c r="N198" s="60">
        <f>16000*1.02*1.02*1.02</f>
        <v>16979.328000000001</v>
      </c>
      <c r="O198" s="63"/>
      <c r="P198" s="63"/>
      <c r="Q198" s="63"/>
      <c r="R198" s="75">
        <f t="shared" ref="R198:R206" si="333">SUM(N198:Q198)</f>
        <v>16979.328000000001</v>
      </c>
      <c r="T198" s="60"/>
      <c r="U198" s="63"/>
      <c r="V198" s="63"/>
      <c r="W198" s="63"/>
      <c r="X198" s="75">
        <f t="shared" ref="X198:X206" si="334">SUM(T198:W198)</f>
        <v>0</v>
      </c>
      <c r="Y198" s="194"/>
      <c r="Z198" s="60">
        <v>0</v>
      </c>
      <c r="AA198" s="63"/>
      <c r="AB198" s="63"/>
      <c r="AC198" s="63"/>
      <c r="AD198" s="75">
        <f t="shared" ref="AD198:AD206" si="335">SUM(Z198:AC198)</f>
        <v>0</v>
      </c>
      <c r="AE198" s="194"/>
      <c r="AF198" s="60">
        <v>0</v>
      </c>
      <c r="AG198" s="63"/>
      <c r="AH198" s="63"/>
      <c r="AI198" s="63"/>
      <c r="AJ198" s="75">
        <f t="shared" ref="AJ198:AJ206" si="336">SUM(AF198:AI198)</f>
        <v>0</v>
      </c>
      <c r="AL198" s="60"/>
      <c r="AM198" s="63"/>
      <c r="AN198" s="63"/>
      <c r="AO198" s="63"/>
      <c r="AP198" s="75">
        <f t="shared" ref="AP198:AP206" si="337">SUM(AL198:AO198)</f>
        <v>0</v>
      </c>
      <c r="AR198" s="60">
        <f t="shared" ref="AR198:AR206" si="338">B198+H198+N198+T198+AL198+AF198+Z198</f>
        <v>16979.328000000001</v>
      </c>
      <c r="AS198" s="60">
        <f t="shared" si="330"/>
        <v>0</v>
      </c>
      <c r="AT198" s="60">
        <f t="shared" si="330"/>
        <v>0</v>
      </c>
      <c r="AU198" s="60">
        <f t="shared" si="330"/>
        <v>0</v>
      </c>
      <c r="AV198" s="75">
        <f t="shared" ref="AV198:AV206" si="339">SUM(AR198:AU198)</f>
        <v>16979.328000000001</v>
      </c>
    </row>
    <row r="199" spans="1:49" x14ac:dyDescent="0.25">
      <c r="A199" s="32" t="s">
        <v>145</v>
      </c>
      <c r="B199" s="60">
        <f>57500*1.02*1.02*1.02</f>
        <v>61019.46</v>
      </c>
      <c r="C199" s="63"/>
      <c r="D199" s="63"/>
      <c r="E199" s="63"/>
      <c r="F199" s="75">
        <f t="shared" si="331"/>
        <v>61019.46</v>
      </c>
      <c r="H199" s="60">
        <f>57000*1.02*1.02*1.02</f>
        <v>60488.856000000007</v>
      </c>
      <c r="I199" s="63"/>
      <c r="J199" s="63"/>
      <c r="K199" s="63"/>
      <c r="L199" s="75">
        <f t="shared" si="332"/>
        <v>60488.856000000007</v>
      </c>
      <c r="N199" s="60">
        <f>130000*1.02*1.02*1.02</f>
        <v>137957.04</v>
      </c>
      <c r="O199" s="63"/>
      <c r="P199" s="63"/>
      <c r="Q199" s="63"/>
      <c r="R199" s="75">
        <f t="shared" si="333"/>
        <v>137957.04</v>
      </c>
      <c r="T199" s="60">
        <f>16000*1.03*1.03*1.02</f>
        <v>17313.888000000003</v>
      </c>
      <c r="U199" s="63"/>
      <c r="V199" s="63"/>
      <c r="W199" s="63"/>
      <c r="X199" s="75">
        <f t="shared" si="334"/>
        <v>17313.888000000003</v>
      </c>
      <c r="Y199" s="194"/>
      <c r="Z199" s="60">
        <f>57000*1.02*1.02*1.02</f>
        <v>60488.856000000007</v>
      </c>
      <c r="AA199" s="63"/>
      <c r="AB199" s="63"/>
      <c r="AC199" s="63"/>
      <c r="AD199" s="75">
        <f t="shared" si="335"/>
        <v>60488.856000000007</v>
      </c>
      <c r="AE199" s="194"/>
      <c r="AF199" s="60">
        <f>55000*1.03*1.02</f>
        <v>57783</v>
      </c>
      <c r="AG199" s="63"/>
      <c r="AH199" s="63"/>
      <c r="AI199" s="63"/>
      <c r="AJ199" s="75">
        <f t="shared" si="336"/>
        <v>57783</v>
      </c>
      <c r="AL199" s="60"/>
      <c r="AM199" s="63"/>
      <c r="AN199" s="63"/>
      <c r="AO199" s="63"/>
      <c r="AP199" s="75">
        <f t="shared" si="337"/>
        <v>0</v>
      </c>
      <c r="AR199" s="60">
        <f>B199+H199+N199+T199+AL199+AF199+Z199</f>
        <v>395051.10000000003</v>
      </c>
      <c r="AS199" s="60">
        <f t="shared" si="330"/>
        <v>0</v>
      </c>
      <c r="AT199" s="60">
        <f t="shared" si="330"/>
        <v>0</v>
      </c>
      <c r="AU199" s="60">
        <f t="shared" si="330"/>
        <v>0</v>
      </c>
      <c r="AV199" s="75">
        <f t="shared" si="339"/>
        <v>395051.10000000003</v>
      </c>
    </row>
    <row r="200" spans="1:49" x14ac:dyDescent="0.25">
      <c r="A200" s="32" t="s">
        <v>146</v>
      </c>
      <c r="B200" s="60">
        <f>37000*1.02*1.02*1.02</f>
        <v>39264.696000000004</v>
      </c>
      <c r="C200" s="63"/>
      <c r="D200" s="63"/>
      <c r="E200" s="63"/>
      <c r="F200" s="75">
        <f t="shared" si="331"/>
        <v>39264.696000000004</v>
      </c>
      <c r="H200" s="60">
        <f>45000*1.02*1.02*1.02</f>
        <v>47754.36</v>
      </c>
      <c r="I200" s="63"/>
      <c r="J200" s="63"/>
      <c r="K200" s="63"/>
      <c r="L200" s="75">
        <f t="shared" si="332"/>
        <v>47754.36</v>
      </c>
      <c r="N200" s="60">
        <f>70000*1.02*1.02*1.02</f>
        <v>74284.56</v>
      </c>
      <c r="O200" s="63"/>
      <c r="P200" s="63"/>
      <c r="Q200" s="63"/>
      <c r="R200" s="75">
        <f t="shared" si="333"/>
        <v>74284.56</v>
      </c>
      <c r="T200" s="60"/>
      <c r="U200" s="63"/>
      <c r="V200" s="63"/>
      <c r="W200" s="63"/>
      <c r="X200" s="75">
        <f t="shared" si="334"/>
        <v>0</v>
      </c>
      <c r="Y200" s="194"/>
      <c r="Z200" s="60">
        <f>45000*1.02*1.02*1.02</f>
        <v>47754.36</v>
      </c>
      <c r="AA200" s="63"/>
      <c r="AB200" s="63"/>
      <c r="AC200" s="63"/>
      <c r="AD200" s="75">
        <f t="shared" si="335"/>
        <v>47754.36</v>
      </c>
      <c r="AE200" s="194"/>
      <c r="AF200" s="60">
        <f>35000*1.03*1.02</f>
        <v>36771</v>
      </c>
      <c r="AG200" s="63"/>
      <c r="AH200" s="63"/>
      <c r="AI200" s="63"/>
      <c r="AJ200" s="75">
        <f t="shared" si="336"/>
        <v>36771</v>
      </c>
      <c r="AL200" s="60"/>
      <c r="AM200" s="63"/>
      <c r="AN200" s="63"/>
      <c r="AO200" s="63"/>
      <c r="AP200" s="75">
        <f t="shared" si="337"/>
        <v>0</v>
      </c>
      <c r="AR200" s="60">
        <f t="shared" si="338"/>
        <v>245828.97600000002</v>
      </c>
      <c r="AS200" s="60">
        <f t="shared" si="330"/>
        <v>0</v>
      </c>
      <c r="AT200" s="60">
        <f t="shared" si="330"/>
        <v>0</v>
      </c>
      <c r="AU200" s="60">
        <f t="shared" si="330"/>
        <v>0</v>
      </c>
      <c r="AV200" s="75">
        <f t="shared" si="339"/>
        <v>245828.97600000002</v>
      </c>
    </row>
    <row r="201" spans="1:49" x14ac:dyDescent="0.25">
      <c r="A201" s="32" t="s">
        <v>147</v>
      </c>
      <c r="B201" s="60">
        <f>12500*1.02*1.02*1.02</f>
        <v>13265.1</v>
      </c>
      <c r="C201" s="63"/>
      <c r="D201" s="63"/>
      <c r="E201" s="63"/>
      <c r="F201" s="75">
        <f t="shared" si="331"/>
        <v>13265.1</v>
      </c>
      <c r="H201" s="60">
        <f>7500*1.02*1.02*1.02</f>
        <v>7959.06</v>
      </c>
      <c r="I201" s="63"/>
      <c r="J201" s="63"/>
      <c r="K201" s="63"/>
      <c r="L201" s="75">
        <f t="shared" si="332"/>
        <v>7959.06</v>
      </c>
      <c r="N201" s="60">
        <f>21000*1.02*1.02*1.02</f>
        <v>22285.368000000002</v>
      </c>
      <c r="O201" s="63"/>
      <c r="P201" s="63"/>
      <c r="Q201" s="63"/>
      <c r="R201" s="75">
        <f t="shared" si="333"/>
        <v>22285.368000000002</v>
      </c>
      <c r="T201" s="60">
        <f>5500+500+500+500</f>
        <v>7000</v>
      </c>
      <c r="U201" s="63"/>
      <c r="V201" s="63"/>
      <c r="W201" s="63"/>
      <c r="X201" s="75">
        <f t="shared" si="334"/>
        <v>7000</v>
      </c>
      <c r="Y201" s="194"/>
      <c r="Z201" s="60">
        <f>7500*1.02*1.02*1.02</f>
        <v>7959.06</v>
      </c>
      <c r="AA201" s="63"/>
      <c r="AB201" s="63"/>
      <c r="AC201" s="63"/>
      <c r="AD201" s="75">
        <f t="shared" si="335"/>
        <v>7959.06</v>
      </c>
      <c r="AE201" s="194"/>
      <c r="AF201" s="60">
        <f>7500+500+500</f>
        <v>8500</v>
      </c>
      <c r="AG201" s="63"/>
      <c r="AH201" s="63"/>
      <c r="AI201" s="63"/>
      <c r="AJ201" s="75">
        <f t="shared" si="336"/>
        <v>8500</v>
      </c>
      <c r="AL201" s="60"/>
      <c r="AM201" s="63"/>
      <c r="AN201" s="63"/>
      <c r="AO201" s="63"/>
      <c r="AP201" s="75">
        <f t="shared" si="337"/>
        <v>0</v>
      </c>
      <c r="AR201" s="60">
        <f t="shared" si="338"/>
        <v>66968.588000000003</v>
      </c>
      <c r="AS201" s="60">
        <f t="shared" si="330"/>
        <v>0</v>
      </c>
      <c r="AT201" s="60">
        <f t="shared" si="330"/>
        <v>0</v>
      </c>
      <c r="AU201" s="60">
        <f t="shared" si="330"/>
        <v>0</v>
      </c>
      <c r="AV201" s="75">
        <f t="shared" si="339"/>
        <v>66968.588000000003</v>
      </c>
    </row>
    <row r="202" spans="1:49" x14ac:dyDescent="0.25">
      <c r="A202" s="32" t="s">
        <v>148</v>
      </c>
      <c r="B202" s="60">
        <f>((8015*13))*1.03*1.03*1.03</f>
        <v>113856.68976500002</v>
      </c>
      <c r="C202" s="63"/>
      <c r="D202" s="63"/>
      <c r="E202" s="63"/>
      <c r="F202" s="75">
        <f t="shared" si="331"/>
        <v>113856.68976500002</v>
      </c>
      <c r="H202" s="60">
        <f>(((7105*13))+10000)*1.03*1.03*1.03</f>
        <v>111856.99935500001</v>
      </c>
      <c r="I202" s="63"/>
      <c r="J202" s="63"/>
      <c r="K202" s="63"/>
      <c r="L202" s="75">
        <f t="shared" si="332"/>
        <v>111856.99935500001</v>
      </c>
      <c r="N202" s="60">
        <f>((24050*13)+(12500*2))*1.03*1.03*1.03</f>
        <v>368959.27155</v>
      </c>
      <c r="O202" s="63"/>
      <c r="P202" s="63"/>
      <c r="Q202" s="63"/>
      <c r="R202" s="75">
        <f t="shared" si="333"/>
        <v>368959.27155</v>
      </c>
      <c r="T202" s="60">
        <f>(2475*13)*1.05*1.05*1.04</f>
        <v>36891.855000000003</v>
      </c>
      <c r="U202" s="63"/>
      <c r="V202" s="63"/>
      <c r="W202" s="63"/>
      <c r="X202" s="75">
        <f t="shared" si="334"/>
        <v>36891.855000000003</v>
      </c>
      <c r="Y202" s="194"/>
      <c r="Z202" s="60">
        <f>(((7105*13))+10000)*1.03*1.03*1.03</f>
        <v>111856.99935500001</v>
      </c>
      <c r="AA202" s="63"/>
      <c r="AB202" s="63"/>
      <c r="AC202" s="63"/>
      <c r="AD202" s="75">
        <f t="shared" si="335"/>
        <v>111856.99935500001</v>
      </c>
      <c r="AE202" s="194"/>
      <c r="AF202" s="60">
        <f>(((7105*13)))*1.05*1.03</f>
        <v>99892.747499999998</v>
      </c>
      <c r="AG202" s="63"/>
      <c r="AH202" s="63"/>
      <c r="AI202" s="63"/>
      <c r="AJ202" s="75">
        <f t="shared" si="336"/>
        <v>99892.747499999998</v>
      </c>
      <c r="AL202" s="60"/>
      <c r="AM202" s="63"/>
      <c r="AN202" s="63"/>
      <c r="AO202" s="63"/>
      <c r="AP202" s="75">
        <f t="shared" si="337"/>
        <v>0</v>
      </c>
      <c r="AR202" s="60">
        <f t="shared" si="338"/>
        <v>843314.56252499996</v>
      </c>
      <c r="AS202" s="60">
        <f t="shared" si="330"/>
        <v>0</v>
      </c>
      <c r="AT202" s="60">
        <f t="shared" si="330"/>
        <v>0</v>
      </c>
      <c r="AU202" s="60">
        <f t="shared" si="330"/>
        <v>0</v>
      </c>
      <c r="AV202" s="75">
        <f t="shared" si="339"/>
        <v>843314.56252499996</v>
      </c>
    </row>
    <row r="203" spans="1:49" x14ac:dyDescent="0.25">
      <c r="A203" s="32" t="s">
        <v>149</v>
      </c>
      <c r="B203" s="60">
        <f>145000+5000+5000+5000</f>
        <v>160000</v>
      </c>
      <c r="C203" s="63"/>
      <c r="D203" s="63"/>
      <c r="E203" s="63"/>
      <c r="F203" s="75">
        <f t="shared" si="331"/>
        <v>160000</v>
      </c>
      <c r="H203" s="60">
        <f>140000+5000+5000+5000</f>
        <v>155000</v>
      </c>
      <c r="I203" s="63"/>
      <c r="J203" s="63"/>
      <c r="K203" s="63"/>
      <c r="L203" s="75">
        <f t="shared" si="332"/>
        <v>155000</v>
      </c>
      <c r="N203" s="60">
        <f>235000+10000+10000+10000</f>
        <v>265000</v>
      </c>
      <c r="O203" s="63"/>
      <c r="P203" s="63"/>
      <c r="Q203" s="63">
        <v>0</v>
      </c>
      <c r="R203" s="75">
        <f t="shared" si="333"/>
        <v>265000</v>
      </c>
      <c r="T203" s="60">
        <f>40000+10000+5000+5000</f>
        <v>60000</v>
      </c>
      <c r="U203" s="63"/>
      <c r="V203" s="63">
        <v>0</v>
      </c>
      <c r="W203" s="63"/>
      <c r="X203" s="75">
        <f t="shared" si="334"/>
        <v>60000</v>
      </c>
      <c r="Y203" s="194"/>
      <c r="Z203" s="60">
        <f>125000</f>
        <v>125000</v>
      </c>
      <c r="AA203" s="63"/>
      <c r="AB203" s="63">
        <v>0</v>
      </c>
      <c r="AC203" s="63"/>
      <c r="AD203" s="75">
        <f t="shared" si="335"/>
        <v>125000</v>
      </c>
      <c r="AE203" s="194"/>
      <c r="AF203" s="60">
        <v>75000</v>
      </c>
      <c r="AG203" s="63"/>
      <c r="AH203" s="63">
        <v>0</v>
      </c>
      <c r="AI203" s="63"/>
      <c r="AJ203" s="75">
        <f t="shared" si="336"/>
        <v>75000</v>
      </c>
      <c r="AL203" s="60"/>
      <c r="AM203" s="63"/>
      <c r="AN203" s="63"/>
      <c r="AO203" s="63">
        <f>AO85</f>
        <v>0</v>
      </c>
      <c r="AP203" s="75">
        <f t="shared" si="337"/>
        <v>0</v>
      </c>
      <c r="AR203" s="60">
        <f t="shared" si="338"/>
        <v>840000</v>
      </c>
      <c r="AS203" s="60">
        <f t="shared" si="330"/>
        <v>0</v>
      </c>
      <c r="AT203" s="60">
        <f t="shared" si="330"/>
        <v>0</v>
      </c>
      <c r="AU203" s="60">
        <f t="shared" si="330"/>
        <v>0</v>
      </c>
      <c r="AV203" s="75">
        <f t="shared" si="339"/>
        <v>840000</v>
      </c>
    </row>
    <row r="204" spans="1:49" x14ac:dyDescent="0.25">
      <c r="A204" s="32" t="s">
        <v>150</v>
      </c>
      <c r="B204" s="60">
        <v>0</v>
      </c>
      <c r="C204" s="63"/>
      <c r="D204" s="63"/>
      <c r="E204" s="63"/>
      <c r="F204" s="75">
        <f t="shared" si="331"/>
        <v>0</v>
      </c>
      <c r="H204" s="60">
        <v>0</v>
      </c>
      <c r="I204" s="63"/>
      <c r="J204" s="63"/>
      <c r="K204" s="63"/>
      <c r="L204" s="75">
        <f t="shared" si="332"/>
        <v>0</v>
      </c>
      <c r="N204" s="60">
        <v>0</v>
      </c>
      <c r="O204" s="63"/>
      <c r="P204" s="63"/>
      <c r="Q204" s="63"/>
      <c r="R204" s="75">
        <f t="shared" si="333"/>
        <v>0</v>
      </c>
      <c r="T204" s="60"/>
      <c r="U204" s="63"/>
      <c r="V204" s="63"/>
      <c r="W204" s="63"/>
      <c r="X204" s="75">
        <f t="shared" si="334"/>
        <v>0</v>
      </c>
      <c r="Y204" s="194"/>
      <c r="Z204" s="60">
        <v>0</v>
      </c>
      <c r="AA204" s="63"/>
      <c r="AB204" s="63"/>
      <c r="AC204" s="63"/>
      <c r="AD204" s="75">
        <f t="shared" si="335"/>
        <v>0</v>
      </c>
      <c r="AE204" s="194"/>
      <c r="AF204" s="60">
        <v>0</v>
      </c>
      <c r="AG204" s="63"/>
      <c r="AH204" s="63"/>
      <c r="AI204" s="63"/>
      <c r="AJ204" s="75">
        <f t="shared" si="336"/>
        <v>0</v>
      </c>
      <c r="AL204" s="60"/>
      <c r="AM204" s="63"/>
      <c r="AN204" s="63"/>
      <c r="AO204" s="63"/>
      <c r="AP204" s="75">
        <f t="shared" si="337"/>
        <v>0</v>
      </c>
      <c r="AR204" s="60">
        <f t="shared" si="338"/>
        <v>0</v>
      </c>
      <c r="AS204" s="60">
        <f t="shared" si="330"/>
        <v>0</v>
      </c>
      <c r="AT204" s="60">
        <f t="shared" si="330"/>
        <v>0</v>
      </c>
      <c r="AU204" s="60">
        <f t="shared" si="330"/>
        <v>0</v>
      </c>
      <c r="AV204" s="75">
        <f t="shared" si="339"/>
        <v>0</v>
      </c>
    </row>
    <row r="205" spans="1:49" x14ac:dyDescent="0.25">
      <c r="A205" s="32" t="s">
        <v>151</v>
      </c>
      <c r="B205" s="60">
        <f>25250*1.02*1.02*1.02</f>
        <v>26795.502000000004</v>
      </c>
      <c r="C205" s="63"/>
      <c r="D205" s="63"/>
      <c r="E205" s="63"/>
      <c r="F205" s="75">
        <f t="shared" si="331"/>
        <v>26795.502000000004</v>
      </c>
      <c r="H205" s="60">
        <f>(((700*1.04)*12)+12000)*1.02*1.02*1.02</f>
        <v>22005.209088000003</v>
      </c>
      <c r="I205" s="63"/>
      <c r="J205" s="63"/>
      <c r="K205" s="63"/>
      <c r="L205" s="75">
        <f t="shared" si="332"/>
        <v>22005.209088000003</v>
      </c>
      <c r="N205" s="60">
        <f>(((1750*1.04)*12)+14000)*1.03*1.02*1.02</f>
        <v>38406.574080000006</v>
      </c>
      <c r="O205" s="63"/>
      <c r="P205" s="63"/>
      <c r="Q205" s="63"/>
      <c r="R205" s="75">
        <f t="shared" si="333"/>
        <v>38406.574080000006</v>
      </c>
      <c r="T205" s="60">
        <f>750*12*1.03*1.03*1.03</f>
        <v>9834.5430000000015</v>
      </c>
      <c r="U205" s="63"/>
      <c r="V205" s="63"/>
      <c r="W205" s="63"/>
      <c r="X205" s="75">
        <f t="shared" si="334"/>
        <v>9834.5430000000015</v>
      </c>
      <c r="Y205" s="194"/>
      <c r="Z205" s="60">
        <f>(((700*1.04)*12)+12000)*1.02*1.02*1.02</f>
        <v>22005.209088000003</v>
      </c>
      <c r="AA205" s="63"/>
      <c r="AB205" s="63"/>
      <c r="AC205" s="63"/>
      <c r="AD205" s="75">
        <f t="shared" si="335"/>
        <v>22005.209088000003</v>
      </c>
      <c r="AE205" s="194"/>
      <c r="AF205" s="60">
        <f>(((700*1.04)*12)+12000)*1.03*1.02</f>
        <v>21785.241600000001</v>
      </c>
      <c r="AG205" s="63"/>
      <c r="AH205" s="63"/>
      <c r="AI205" s="63"/>
      <c r="AJ205" s="75">
        <f t="shared" si="336"/>
        <v>21785.241600000001</v>
      </c>
      <c r="AL205" s="60"/>
      <c r="AM205" s="63"/>
      <c r="AN205" s="63"/>
      <c r="AO205" s="63"/>
      <c r="AP205" s="75">
        <f t="shared" si="337"/>
        <v>0</v>
      </c>
      <c r="AR205" s="60">
        <f t="shared" si="338"/>
        <v>140832.27885600002</v>
      </c>
      <c r="AS205" s="60">
        <f t="shared" si="330"/>
        <v>0</v>
      </c>
      <c r="AT205" s="60">
        <f t="shared" si="330"/>
        <v>0</v>
      </c>
      <c r="AU205" s="60">
        <f t="shared" si="330"/>
        <v>0</v>
      </c>
      <c r="AV205" s="75">
        <f t="shared" si="339"/>
        <v>140832.27885600002</v>
      </c>
    </row>
    <row r="206" spans="1:49" x14ac:dyDescent="0.25">
      <c r="A206" s="33" t="s">
        <v>152</v>
      </c>
      <c r="B206" s="60">
        <f>((13610*1.04)+20000)*1.03*1.02*1.02</f>
        <v>36600.264892799998</v>
      </c>
      <c r="C206" s="64"/>
      <c r="D206" s="64"/>
      <c r="E206" s="64"/>
      <c r="F206" s="75">
        <f t="shared" si="331"/>
        <v>36600.264892799998</v>
      </c>
      <c r="H206" s="60">
        <f>((12860*1.04)+20000)*1.03*1.02*1.02</f>
        <v>35764.407532800004</v>
      </c>
      <c r="I206" s="64"/>
      <c r="J206" s="64"/>
      <c r="K206" s="64"/>
      <c r="L206" s="75">
        <f t="shared" si="332"/>
        <v>35764.407532800004</v>
      </c>
      <c r="N206" s="60">
        <f>((24500*1.04)+30000)*1.03*1.02*1.02</f>
        <v>59453.033759999998</v>
      </c>
      <c r="O206" s="64"/>
      <c r="P206" s="64"/>
      <c r="Q206" s="64"/>
      <c r="R206" s="75">
        <f t="shared" si="333"/>
        <v>59453.033759999998</v>
      </c>
      <c r="T206" s="60">
        <f>20000*1.03*1.03*1.03</f>
        <v>21854.54</v>
      </c>
      <c r="U206" s="64"/>
      <c r="V206" s="64"/>
      <c r="W206" s="64"/>
      <c r="X206" s="75">
        <f t="shared" si="334"/>
        <v>21854.54</v>
      </c>
      <c r="Y206" s="194"/>
      <c r="Z206" s="60">
        <f>((12860*1.04)+20000)*1.03*1.02*1.02</f>
        <v>35764.407532800004</v>
      </c>
      <c r="AA206" s="64"/>
      <c r="AB206" s="64"/>
      <c r="AC206" s="64"/>
      <c r="AD206" s="75">
        <f t="shared" si="335"/>
        <v>35764.407532800004</v>
      </c>
      <c r="AE206" s="194"/>
      <c r="AF206" s="60">
        <f>((12860*1.04)+20000)*1.03*1.02</f>
        <v>35063.144640000006</v>
      </c>
      <c r="AG206" s="64"/>
      <c r="AH206" s="64"/>
      <c r="AI206" s="64"/>
      <c r="AJ206" s="75">
        <f t="shared" si="336"/>
        <v>35063.144640000006</v>
      </c>
      <c r="AL206" s="60"/>
      <c r="AM206" s="64"/>
      <c r="AN206" s="64"/>
      <c r="AO206" s="64"/>
      <c r="AP206" s="75">
        <f t="shared" si="337"/>
        <v>0</v>
      </c>
      <c r="AR206" s="60">
        <f t="shared" si="338"/>
        <v>224499.7983584</v>
      </c>
      <c r="AS206" s="60">
        <f t="shared" si="330"/>
        <v>0</v>
      </c>
      <c r="AT206" s="60">
        <f t="shared" si="330"/>
        <v>0</v>
      </c>
      <c r="AU206" s="60">
        <f t="shared" si="330"/>
        <v>0</v>
      </c>
      <c r="AV206" s="75">
        <f t="shared" si="339"/>
        <v>224499.7983584</v>
      </c>
    </row>
    <row r="207" spans="1:49" x14ac:dyDescent="0.25">
      <c r="A207" s="34"/>
      <c r="B207" s="76">
        <f>SUM(B197:B206)</f>
        <v>551616.47265779995</v>
      </c>
      <c r="C207" s="76">
        <f t="shared" ref="C207:F207" si="340">SUM(C197:C206)</f>
        <v>0</v>
      </c>
      <c r="D207" s="76">
        <f t="shared" si="340"/>
        <v>0</v>
      </c>
      <c r="E207" s="76">
        <f t="shared" si="340"/>
        <v>0</v>
      </c>
      <c r="F207" s="76">
        <f t="shared" si="340"/>
        <v>551616.47265779995</v>
      </c>
      <c r="H207" s="76">
        <f>SUM(H197:H206)</f>
        <v>541643.65197580005</v>
      </c>
      <c r="I207" s="76">
        <f t="shared" ref="I207:L207" si="341">SUM(I197:I206)</f>
        <v>0</v>
      </c>
      <c r="J207" s="76">
        <f t="shared" si="341"/>
        <v>0</v>
      </c>
      <c r="K207" s="76">
        <f t="shared" si="341"/>
        <v>0</v>
      </c>
      <c r="L207" s="76">
        <f t="shared" si="341"/>
        <v>541643.65197580005</v>
      </c>
      <c r="N207" s="76">
        <f>SUM(N197:N206)</f>
        <v>1285769.45539</v>
      </c>
      <c r="O207" s="76">
        <f t="shared" ref="O207:R207" si="342">SUM(O197:O206)</f>
        <v>0</v>
      </c>
      <c r="P207" s="76">
        <f t="shared" si="342"/>
        <v>0</v>
      </c>
      <c r="Q207" s="76">
        <f t="shared" si="342"/>
        <v>0</v>
      </c>
      <c r="R207" s="76">
        <f t="shared" si="342"/>
        <v>1285769.45539</v>
      </c>
      <c r="T207" s="76">
        <f>SUM(T197:T206)</f>
        <v>223232.49600000001</v>
      </c>
      <c r="U207" s="76">
        <f t="shared" ref="U207:X207" si="343">SUM(U197:U206)</f>
        <v>0</v>
      </c>
      <c r="V207" s="76">
        <f t="shared" si="343"/>
        <v>0</v>
      </c>
      <c r="W207" s="76">
        <f t="shared" si="343"/>
        <v>0</v>
      </c>
      <c r="X207" s="76">
        <f t="shared" si="343"/>
        <v>223232.49600000001</v>
      </c>
      <c r="Y207" s="199"/>
      <c r="Z207" s="76">
        <f>SUM(Z197:Z206)</f>
        <v>511643.65197580005</v>
      </c>
      <c r="AA207" s="76">
        <f t="shared" ref="AA207:AD207" si="344">SUM(AA197:AA206)</f>
        <v>0</v>
      </c>
      <c r="AB207" s="76">
        <f t="shared" si="344"/>
        <v>0</v>
      </c>
      <c r="AC207" s="76">
        <f t="shared" si="344"/>
        <v>0</v>
      </c>
      <c r="AD207" s="76">
        <f t="shared" si="344"/>
        <v>511643.65197580005</v>
      </c>
      <c r="AE207" s="199"/>
      <c r="AF207" s="76">
        <f>SUM(AF197:AF206)</f>
        <v>447734.63374000002</v>
      </c>
      <c r="AG207" s="76">
        <f t="shared" ref="AG207:AJ207" si="345">SUM(AG197:AG206)</f>
        <v>0</v>
      </c>
      <c r="AH207" s="76">
        <f t="shared" si="345"/>
        <v>0</v>
      </c>
      <c r="AI207" s="76">
        <f t="shared" si="345"/>
        <v>0</v>
      </c>
      <c r="AJ207" s="76">
        <f t="shared" si="345"/>
        <v>447734.63374000002</v>
      </c>
      <c r="AL207" s="76">
        <f>SUM(AL197:AL206)</f>
        <v>0</v>
      </c>
      <c r="AM207" s="76">
        <f t="shared" ref="AM207:AP207" si="346">SUM(AM197:AM206)</f>
        <v>0</v>
      </c>
      <c r="AN207" s="76">
        <f t="shared" si="346"/>
        <v>0</v>
      </c>
      <c r="AO207" s="76">
        <f t="shared" si="346"/>
        <v>0</v>
      </c>
      <c r="AP207" s="76">
        <f t="shared" si="346"/>
        <v>0</v>
      </c>
      <c r="AR207" s="76">
        <f>SUM(AR197:AR206)</f>
        <v>3561640.3617393998</v>
      </c>
      <c r="AS207" s="76">
        <f t="shared" ref="AS207:AV207" si="347">SUM(AS197:AS206)</f>
        <v>0</v>
      </c>
      <c r="AT207" s="76">
        <f t="shared" si="347"/>
        <v>0</v>
      </c>
      <c r="AU207" s="76">
        <f t="shared" si="347"/>
        <v>0</v>
      </c>
      <c r="AV207" s="76">
        <f t="shared" si="347"/>
        <v>3561640.3617393998</v>
      </c>
    </row>
    <row r="208" spans="1:49" ht="16.5" thickBot="1" x14ac:dyDescent="0.3">
      <c r="B208" s="77"/>
      <c r="C208" s="77"/>
      <c r="D208" s="77"/>
      <c r="E208" s="77"/>
      <c r="F208" s="77"/>
      <c r="H208" s="77"/>
      <c r="I208" s="77"/>
      <c r="J208" s="77"/>
      <c r="K208" s="77"/>
      <c r="L208" s="77"/>
      <c r="N208" s="77"/>
      <c r="O208" s="77"/>
      <c r="P208" s="77"/>
      <c r="Q208" s="77"/>
      <c r="R208" s="77"/>
      <c r="T208" s="77"/>
      <c r="U208" s="77"/>
      <c r="V208" s="77"/>
      <c r="W208" s="77"/>
      <c r="X208" s="77"/>
      <c r="Y208" s="79"/>
      <c r="Z208" s="77"/>
      <c r="AA208" s="77"/>
      <c r="AB208" s="77"/>
      <c r="AC208" s="77"/>
      <c r="AD208" s="77"/>
      <c r="AE208" s="79"/>
      <c r="AF208" s="77"/>
      <c r="AG208" s="77"/>
      <c r="AH208" s="77"/>
      <c r="AI208" s="77"/>
      <c r="AJ208" s="77"/>
      <c r="AL208" s="77"/>
      <c r="AM208" s="77"/>
      <c r="AN208" s="77"/>
      <c r="AO208" s="77"/>
      <c r="AP208" s="77"/>
      <c r="AR208" s="77"/>
      <c r="AS208" s="77"/>
      <c r="AT208" s="77"/>
      <c r="AU208" s="77"/>
      <c r="AV208" s="77"/>
    </row>
    <row r="209" spans="1:48" ht="16.5" thickBot="1" x14ac:dyDescent="0.3">
      <c r="A209"/>
      <c r="B209" s="80">
        <f t="shared" ref="B209:F209" si="348">B207+B194+B171+B159+B149+B141+B132+B125+B116+B109</f>
        <v>10664230.259820905</v>
      </c>
      <c r="C209" s="80">
        <f t="shared" si="348"/>
        <v>1282083.04030675</v>
      </c>
      <c r="D209" s="80">
        <f t="shared" si="348"/>
        <v>1223888.95</v>
      </c>
      <c r="E209" s="80">
        <f t="shared" si="348"/>
        <v>0</v>
      </c>
      <c r="F209" s="80">
        <f t="shared" si="348"/>
        <v>13170202.250127653</v>
      </c>
      <c r="H209" s="80">
        <f t="shared" ref="H209:L209" si="349">H207+H194+H171+H159+H149+H141+H132+H125+H116+H109</f>
        <v>10551827.550261725</v>
      </c>
      <c r="I209" s="80">
        <f t="shared" si="349"/>
        <v>1188190.5028067501</v>
      </c>
      <c r="J209" s="80">
        <f t="shared" si="349"/>
        <v>1037272.15</v>
      </c>
      <c r="K209" s="80">
        <f t="shared" si="349"/>
        <v>0</v>
      </c>
      <c r="L209" s="80">
        <f t="shared" si="349"/>
        <v>12777290.203068474</v>
      </c>
      <c r="N209" s="80">
        <f t="shared" ref="N209:R209" si="350">N207+N194+N171+N159+N149+N141+N132+N125+N116+N109</f>
        <v>23268989.207858898</v>
      </c>
      <c r="O209" s="80">
        <f t="shared" si="350"/>
        <v>2989166.8011327502</v>
      </c>
      <c r="P209" s="80">
        <f t="shared" si="350"/>
        <v>1854900.55</v>
      </c>
      <c r="Q209" s="80">
        <f t="shared" si="350"/>
        <v>0</v>
      </c>
      <c r="R209" s="80">
        <f t="shared" si="350"/>
        <v>28113056.558991652</v>
      </c>
      <c r="T209" s="80">
        <f t="shared" ref="T209:X209" si="351">T207+T194+T171+T159+T149+T141+T132+T125+T116+T109</f>
        <v>4142537.8435306493</v>
      </c>
      <c r="U209" s="80">
        <f t="shared" si="351"/>
        <v>612105.69999999995</v>
      </c>
      <c r="V209" s="80">
        <f t="shared" si="351"/>
        <v>408035.13750000001</v>
      </c>
      <c r="W209" s="80">
        <f t="shared" si="351"/>
        <v>0</v>
      </c>
      <c r="X209" s="80">
        <f t="shared" si="351"/>
        <v>5162678.6810306497</v>
      </c>
      <c r="Y209" s="199"/>
      <c r="Z209" s="80">
        <f t="shared" ref="Z209:AD209" si="352">Z207+Z194+Z171+Z159+Z149+Z141+Z132+Z125+Z116+Z109</f>
        <v>7110953.0482384004</v>
      </c>
      <c r="AA209" s="80">
        <f t="shared" si="352"/>
        <v>951083.125</v>
      </c>
      <c r="AB209" s="80">
        <f t="shared" si="352"/>
        <v>849847.9</v>
      </c>
      <c r="AC209" s="80">
        <f t="shared" si="352"/>
        <v>0</v>
      </c>
      <c r="AD209" s="80">
        <f t="shared" si="352"/>
        <v>8911884.0732383989</v>
      </c>
      <c r="AE209" s="199"/>
      <c r="AF209" s="80">
        <f t="shared" ref="AF209:AJ209" si="353">AF207+AF194+AF171+AF159+AF149+AF141+AF132+AF125+AF116+AF109</f>
        <v>7470661.5309300004</v>
      </c>
      <c r="AG209" s="80">
        <f t="shared" si="353"/>
        <v>957501.6875</v>
      </c>
      <c r="AH209" s="80">
        <f t="shared" si="353"/>
        <v>847114.35</v>
      </c>
      <c r="AI209" s="80">
        <f t="shared" si="353"/>
        <v>0</v>
      </c>
      <c r="AJ209" s="80">
        <f t="shared" si="353"/>
        <v>9275277.5684300009</v>
      </c>
      <c r="AL209" s="80">
        <f t="shared" ref="AL209:AP209" si="354">AL207+AL194+AL171+AL159+AL149+AL141+AL132+AL125+AL116+AL109</f>
        <v>353159.61678350001</v>
      </c>
      <c r="AM209" s="80">
        <f t="shared" si="354"/>
        <v>472581.78362512507</v>
      </c>
      <c r="AN209" s="80">
        <f t="shared" si="354"/>
        <v>106563.37028203125</v>
      </c>
      <c r="AO209" s="80">
        <f t="shared" si="354"/>
        <v>1993737.5</v>
      </c>
      <c r="AP209" s="80">
        <f t="shared" si="354"/>
        <v>2926042.2706906563</v>
      </c>
      <c r="AR209" s="80">
        <f t="shared" ref="AR209:AV209" si="355">AR207+AR194+AR171+AR159+AR149+AR141+AR132+AR125+AR116+AR109</f>
        <v>63562359.057424083</v>
      </c>
      <c r="AS209" s="80">
        <f t="shared" si="355"/>
        <v>8452712.6403713748</v>
      </c>
      <c r="AT209" s="80">
        <f t="shared" si="355"/>
        <v>6327622.4077820312</v>
      </c>
      <c r="AU209" s="80">
        <f t="shared" si="355"/>
        <v>1993737.5</v>
      </c>
      <c r="AV209" s="80">
        <f t="shared" si="355"/>
        <v>80336431.605577499</v>
      </c>
    </row>
    <row r="210" spans="1:48" ht="16.5" thickBot="1" x14ac:dyDescent="0.3">
      <c r="B210" s="77"/>
      <c r="C210" s="77"/>
      <c r="D210" s="77"/>
      <c r="E210" s="77"/>
      <c r="F210" s="77"/>
      <c r="H210" s="77"/>
      <c r="I210" s="77"/>
      <c r="J210" s="77"/>
      <c r="K210" s="77"/>
      <c r="L210" s="77"/>
      <c r="N210" s="77"/>
      <c r="O210" s="77"/>
      <c r="P210" s="77"/>
      <c r="Q210" s="77"/>
      <c r="R210" s="77"/>
      <c r="T210" s="77"/>
      <c r="U210" s="77"/>
      <c r="V210" s="77"/>
      <c r="W210" s="77"/>
      <c r="X210" s="77"/>
      <c r="Y210" s="79"/>
      <c r="Z210" s="77"/>
      <c r="AA210" s="77"/>
      <c r="AB210" s="77"/>
      <c r="AC210" s="77"/>
      <c r="AD210" s="77"/>
      <c r="AE210" s="79"/>
      <c r="AF210" s="77"/>
      <c r="AG210" s="77"/>
      <c r="AH210" s="77"/>
      <c r="AI210" s="77"/>
      <c r="AJ210" s="77"/>
      <c r="AL210" s="57"/>
      <c r="AM210" s="57"/>
      <c r="AN210" s="57"/>
      <c r="AO210" s="57"/>
      <c r="AP210" s="77"/>
      <c r="AR210" s="57"/>
      <c r="AS210" s="57"/>
      <c r="AT210" s="57"/>
      <c r="AU210" s="57"/>
      <c r="AV210" s="77"/>
    </row>
    <row r="211" spans="1:48" ht="16.5" thickBot="1" x14ac:dyDescent="0.3">
      <c r="A211" s="36"/>
      <c r="B211" s="81"/>
      <c r="C211" s="81"/>
      <c r="D211" s="81"/>
      <c r="E211" s="81"/>
      <c r="F211" s="81"/>
      <c r="H211" s="81"/>
      <c r="I211" s="81"/>
      <c r="J211" s="81"/>
      <c r="K211" s="81"/>
      <c r="L211" s="81"/>
      <c r="N211" s="81"/>
      <c r="O211" s="81"/>
      <c r="P211" s="81"/>
      <c r="Q211" s="81"/>
      <c r="R211" s="81"/>
      <c r="T211" s="81"/>
      <c r="U211" s="81"/>
      <c r="V211" s="81"/>
      <c r="W211" s="81"/>
      <c r="X211" s="81"/>
      <c r="Y211" s="194"/>
      <c r="Z211" s="81"/>
      <c r="AA211" s="81"/>
      <c r="AB211" s="81"/>
      <c r="AC211" s="81"/>
      <c r="AD211" s="81"/>
      <c r="AE211" s="194"/>
      <c r="AF211" s="81"/>
      <c r="AG211" s="81"/>
      <c r="AH211" s="81"/>
      <c r="AI211" s="81"/>
      <c r="AJ211" s="81"/>
      <c r="AL211" s="81"/>
      <c r="AM211" s="81"/>
      <c r="AN211" s="81"/>
      <c r="AO211" s="81"/>
      <c r="AP211" s="81"/>
      <c r="AR211" s="81"/>
      <c r="AS211" s="81"/>
      <c r="AT211" s="81"/>
      <c r="AU211" s="81"/>
      <c r="AV211" s="81"/>
    </row>
    <row r="212" spans="1:48" x14ac:dyDescent="0.25">
      <c r="A212" s="37" t="s">
        <v>153</v>
      </c>
      <c r="B212" s="82">
        <v>0</v>
      </c>
      <c r="C212" s="82"/>
      <c r="D212" s="82"/>
      <c r="E212" s="82"/>
      <c r="F212" s="82">
        <f>SUM(B212:E212)</f>
        <v>0</v>
      </c>
      <c r="H212" s="82">
        <v>0</v>
      </c>
      <c r="I212" s="82"/>
      <c r="J212" s="82"/>
      <c r="K212" s="82"/>
      <c r="L212" s="82">
        <f>SUM(H212:K212)</f>
        <v>0</v>
      </c>
      <c r="N212" s="82">
        <v>0</v>
      </c>
      <c r="O212" s="82"/>
      <c r="P212" s="82"/>
      <c r="Q212" s="82"/>
      <c r="R212" s="82">
        <f>SUM(N212:Q212)</f>
        <v>0</v>
      </c>
      <c r="T212" s="82">
        <v>0</v>
      </c>
      <c r="U212" s="82"/>
      <c r="V212" s="82"/>
      <c r="W212" s="82"/>
      <c r="X212" s="82">
        <f>SUM(T212:W212)</f>
        <v>0</v>
      </c>
      <c r="Y212" s="194"/>
      <c r="Z212" s="82">
        <f>1300000+1000000</f>
        <v>2300000</v>
      </c>
      <c r="AA212" s="82"/>
      <c r="AB212" s="82"/>
      <c r="AC212" s="82"/>
      <c r="AD212" s="82">
        <f>SUM(Z212:AC212)</f>
        <v>2300000</v>
      </c>
      <c r="AE212" s="194"/>
      <c r="AF212" s="82">
        <v>2323063</v>
      </c>
      <c r="AG212" s="82"/>
      <c r="AH212" s="82"/>
      <c r="AI212" s="82"/>
      <c r="AJ212" s="82">
        <f>SUM(AF212:AI212)</f>
        <v>2323063</v>
      </c>
      <c r="AL212" s="82"/>
      <c r="AM212" s="82"/>
      <c r="AN212" s="82"/>
      <c r="AO212" s="82"/>
      <c r="AP212" s="82">
        <f>SUM(AL212:AO212)</f>
        <v>0</v>
      </c>
      <c r="AR212" s="82">
        <f>B212+H212+N212+T212+AL212+AF212+Z212</f>
        <v>4623063</v>
      </c>
      <c r="AS212" s="82">
        <f t="shared" ref="AS212:AU215" si="356">C212+I212+O212+U212+AM212+AG212+AA212</f>
        <v>0</v>
      </c>
      <c r="AT212" s="82">
        <f t="shared" si="356"/>
        <v>0</v>
      </c>
      <c r="AU212" s="82">
        <f t="shared" si="356"/>
        <v>0</v>
      </c>
      <c r="AV212" s="82">
        <f>SUM(AR212:AU212)</f>
        <v>4623063</v>
      </c>
    </row>
    <row r="213" spans="1:48" x14ac:dyDescent="0.25">
      <c r="A213" s="38" t="s">
        <v>154</v>
      </c>
      <c r="B213" s="83">
        <v>345000</v>
      </c>
      <c r="C213" s="83"/>
      <c r="D213" s="83"/>
      <c r="E213" s="83"/>
      <c r="F213" s="82">
        <f t="shared" ref="F213:F215" si="357">SUM(B213:E213)</f>
        <v>345000</v>
      </c>
      <c r="H213" s="83">
        <v>332500</v>
      </c>
      <c r="I213" s="83"/>
      <c r="J213" s="83"/>
      <c r="K213" s="83"/>
      <c r="L213" s="82">
        <f t="shared" ref="L213:L215" si="358">SUM(H213:K213)</f>
        <v>332500</v>
      </c>
      <c r="N213" s="83">
        <v>980000</v>
      </c>
      <c r="O213" s="83"/>
      <c r="P213" s="83"/>
      <c r="Q213" s="83"/>
      <c r="R213" s="82">
        <f t="shared" ref="R213:R215" si="359">SUM(N213:Q213)</f>
        <v>980000</v>
      </c>
      <c r="T213" s="83">
        <v>182500</v>
      </c>
      <c r="U213" s="83"/>
      <c r="V213" s="83"/>
      <c r="W213" s="83"/>
      <c r="X213" s="82">
        <f t="shared" ref="X213:X215" si="360">SUM(T213:W213)</f>
        <v>182500</v>
      </c>
      <c r="Y213" s="194"/>
      <c r="Z213" s="83"/>
      <c r="AA213" s="83"/>
      <c r="AB213" s="83"/>
      <c r="AC213" s="83"/>
      <c r="AD213" s="82">
        <f t="shared" ref="AD213:AD215" si="361">SUM(Z213:AC213)</f>
        <v>0</v>
      </c>
      <c r="AE213" s="194"/>
      <c r="AF213" s="83"/>
      <c r="AG213" s="83"/>
      <c r="AH213" s="83"/>
      <c r="AI213" s="83"/>
      <c r="AJ213" s="82">
        <f t="shared" ref="AJ213:AJ215" si="362">SUM(AF213:AI213)</f>
        <v>0</v>
      </c>
      <c r="AL213" s="83"/>
      <c r="AM213" s="83"/>
      <c r="AN213" s="83"/>
      <c r="AO213" s="83"/>
      <c r="AP213" s="82">
        <f t="shared" ref="AP213:AP215" si="363">SUM(AL213:AO213)</f>
        <v>0</v>
      </c>
      <c r="AR213" s="82">
        <f t="shared" ref="AR213:AR215" si="364">B213+H213+N213+T213+AL213+AF213+Z213</f>
        <v>1840000</v>
      </c>
      <c r="AS213" s="82">
        <f t="shared" si="356"/>
        <v>0</v>
      </c>
      <c r="AT213" s="82">
        <f t="shared" si="356"/>
        <v>0</v>
      </c>
      <c r="AU213" s="82">
        <f t="shared" si="356"/>
        <v>0</v>
      </c>
      <c r="AV213" s="82">
        <f t="shared" ref="AV213:AV215" si="365">SUM(AR213:AU213)</f>
        <v>1840000</v>
      </c>
    </row>
    <row r="214" spans="1:48" x14ac:dyDescent="0.25">
      <c r="A214" s="38" t="s">
        <v>155</v>
      </c>
      <c r="B214" s="83">
        <v>674482</v>
      </c>
      <c r="C214" s="83"/>
      <c r="D214" s="83"/>
      <c r="E214" s="83"/>
      <c r="F214" s="82">
        <f t="shared" si="357"/>
        <v>674482</v>
      </c>
      <c r="H214" s="83">
        <v>653100</v>
      </c>
      <c r="I214" s="83"/>
      <c r="J214" s="83"/>
      <c r="K214" s="83"/>
      <c r="L214" s="82">
        <f t="shared" si="358"/>
        <v>653100</v>
      </c>
      <c r="N214" s="83">
        <v>2638875</v>
      </c>
      <c r="O214" s="83"/>
      <c r="P214" s="83"/>
      <c r="Q214" s="83"/>
      <c r="R214" s="82">
        <f t="shared" si="359"/>
        <v>2638875</v>
      </c>
      <c r="T214" s="83">
        <v>1085438</v>
      </c>
      <c r="U214" s="83"/>
      <c r="V214" s="83"/>
      <c r="W214" s="83"/>
      <c r="X214" s="82">
        <f t="shared" si="360"/>
        <v>1085438</v>
      </c>
      <c r="Y214" s="194"/>
      <c r="Z214" s="83"/>
      <c r="AA214" s="83"/>
      <c r="AB214" s="83"/>
      <c r="AC214" s="83"/>
      <c r="AD214" s="82">
        <f t="shared" si="361"/>
        <v>0</v>
      </c>
      <c r="AE214" s="194"/>
      <c r="AF214" s="83"/>
      <c r="AG214" s="83"/>
      <c r="AH214" s="83"/>
      <c r="AI214" s="83"/>
      <c r="AJ214" s="82">
        <f t="shared" si="362"/>
        <v>0</v>
      </c>
      <c r="AL214" s="83"/>
      <c r="AM214" s="83"/>
      <c r="AN214" s="83"/>
      <c r="AO214" s="83"/>
      <c r="AP214" s="82">
        <f t="shared" si="363"/>
        <v>0</v>
      </c>
      <c r="AR214" s="82">
        <f t="shared" si="364"/>
        <v>5051895</v>
      </c>
      <c r="AS214" s="82">
        <f t="shared" si="356"/>
        <v>0</v>
      </c>
      <c r="AT214" s="82">
        <f t="shared" si="356"/>
        <v>0</v>
      </c>
      <c r="AU214" s="82">
        <f t="shared" si="356"/>
        <v>0</v>
      </c>
      <c r="AV214" s="82">
        <f t="shared" si="365"/>
        <v>5051895</v>
      </c>
    </row>
    <row r="215" spans="1:48" x14ac:dyDescent="0.25">
      <c r="A215" s="39" t="s">
        <v>156</v>
      </c>
      <c r="B215" s="84">
        <v>0</v>
      </c>
      <c r="C215" s="84"/>
      <c r="D215" s="84"/>
      <c r="E215" s="84"/>
      <c r="F215" s="82">
        <f t="shared" si="357"/>
        <v>0</v>
      </c>
      <c r="H215" s="84">
        <v>0</v>
      </c>
      <c r="I215" s="84"/>
      <c r="J215" s="84"/>
      <c r="K215" s="84"/>
      <c r="L215" s="82">
        <f t="shared" si="358"/>
        <v>0</v>
      </c>
      <c r="N215" s="84">
        <v>0</v>
      </c>
      <c r="O215" s="84"/>
      <c r="P215" s="84"/>
      <c r="Q215" s="84"/>
      <c r="R215" s="82">
        <f t="shared" si="359"/>
        <v>0</v>
      </c>
      <c r="T215" s="84">
        <v>0</v>
      </c>
      <c r="U215" s="84"/>
      <c r="V215" s="84"/>
      <c r="W215" s="84"/>
      <c r="X215" s="82">
        <f t="shared" si="360"/>
        <v>0</v>
      </c>
      <c r="Y215" s="194"/>
      <c r="Z215" s="84">
        <v>0</v>
      </c>
      <c r="AA215" s="84"/>
      <c r="AB215" s="84"/>
      <c r="AC215" s="84"/>
      <c r="AD215" s="82">
        <f t="shared" si="361"/>
        <v>0</v>
      </c>
      <c r="AE215" s="194"/>
      <c r="AF215" s="84">
        <v>0</v>
      </c>
      <c r="AG215" s="84"/>
      <c r="AH215" s="84"/>
      <c r="AI215" s="84"/>
      <c r="AJ215" s="82">
        <f t="shared" si="362"/>
        <v>0</v>
      </c>
      <c r="AL215" s="84"/>
      <c r="AM215" s="84"/>
      <c r="AN215" s="84"/>
      <c r="AO215" s="84"/>
      <c r="AP215" s="82">
        <f t="shared" si="363"/>
        <v>0</v>
      </c>
      <c r="AR215" s="82">
        <f t="shared" si="364"/>
        <v>0</v>
      </c>
      <c r="AS215" s="82">
        <f t="shared" si="356"/>
        <v>0</v>
      </c>
      <c r="AT215" s="82">
        <f t="shared" si="356"/>
        <v>0</v>
      </c>
      <c r="AU215" s="82">
        <f t="shared" si="356"/>
        <v>0</v>
      </c>
      <c r="AV215" s="82">
        <f t="shared" si="365"/>
        <v>0</v>
      </c>
    </row>
    <row r="216" spans="1:48" x14ac:dyDescent="0.25">
      <c r="A216" s="27"/>
      <c r="B216" s="76">
        <f>SUM(B212:B215)</f>
        <v>1019482</v>
      </c>
      <c r="C216" s="76">
        <f t="shared" ref="C216:F216" si="366">SUM(C212:C215)</f>
        <v>0</v>
      </c>
      <c r="D216" s="76">
        <f t="shared" si="366"/>
        <v>0</v>
      </c>
      <c r="E216" s="76">
        <f t="shared" si="366"/>
        <v>0</v>
      </c>
      <c r="F216" s="76">
        <f t="shared" si="366"/>
        <v>1019482</v>
      </c>
      <c r="H216" s="76">
        <f>SUM(H212:H215)</f>
        <v>985600</v>
      </c>
      <c r="I216" s="76">
        <f t="shared" ref="I216:L216" si="367">SUM(I212:I215)</f>
        <v>0</v>
      </c>
      <c r="J216" s="76">
        <f t="shared" si="367"/>
        <v>0</v>
      </c>
      <c r="K216" s="76">
        <f t="shared" si="367"/>
        <v>0</v>
      </c>
      <c r="L216" s="76">
        <f t="shared" si="367"/>
        <v>985600</v>
      </c>
      <c r="N216" s="76">
        <f>SUM(N212:N215)</f>
        <v>3618875</v>
      </c>
      <c r="O216" s="76">
        <f t="shared" ref="O216:R216" si="368">SUM(O212:O215)</f>
        <v>0</v>
      </c>
      <c r="P216" s="76">
        <f t="shared" si="368"/>
        <v>0</v>
      </c>
      <c r="Q216" s="76">
        <f t="shared" si="368"/>
        <v>0</v>
      </c>
      <c r="R216" s="76">
        <f t="shared" si="368"/>
        <v>3618875</v>
      </c>
      <c r="T216" s="76">
        <f t="shared" ref="T216:X216" si="369">SUM(T212:T215)</f>
        <v>1267938</v>
      </c>
      <c r="U216" s="76">
        <f t="shared" si="369"/>
        <v>0</v>
      </c>
      <c r="V216" s="76">
        <f t="shared" si="369"/>
        <v>0</v>
      </c>
      <c r="W216" s="76">
        <f t="shared" si="369"/>
        <v>0</v>
      </c>
      <c r="X216" s="76">
        <f t="shared" si="369"/>
        <v>1267938</v>
      </c>
      <c r="Y216" s="199"/>
      <c r="Z216" s="76">
        <f t="shared" ref="Z216:AD216" si="370">SUM(Z212:Z215)</f>
        <v>2300000</v>
      </c>
      <c r="AA216" s="76">
        <f t="shared" si="370"/>
        <v>0</v>
      </c>
      <c r="AB216" s="76">
        <f t="shared" si="370"/>
        <v>0</v>
      </c>
      <c r="AC216" s="76">
        <f t="shared" si="370"/>
        <v>0</v>
      </c>
      <c r="AD216" s="76">
        <f t="shared" si="370"/>
        <v>2300000</v>
      </c>
      <c r="AE216" s="199"/>
      <c r="AF216" s="76">
        <f t="shared" ref="AF216:AJ216" si="371">SUM(AF212:AF215)</f>
        <v>2323063</v>
      </c>
      <c r="AG216" s="76">
        <f t="shared" si="371"/>
        <v>0</v>
      </c>
      <c r="AH216" s="76">
        <f t="shared" si="371"/>
        <v>0</v>
      </c>
      <c r="AI216" s="76">
        <f t="shared" si="371"/>
        <v>0</v>
      </c>
      <c r="AJ216" s="76">
        <f t="shared" si="371"/>
        <v>2323063</v>
      </c>
      <c r="AL216" s="76">
        <f>SUM(AL212:AL215)</f>
        <v>0</v>
      </c>
      <c r="AM216" s="76">
        <f t="shared" ref="AM216:AP216" si="372">SUM(AM212:AM215)</f>
        <v>0</v>
      </c>
      <c r="AN216" s="76">
        <f t="shared" si="372"/>
        <v>0</v>
      </c>
      <c r="AO216" s="76">
        <f t="shared" si="372"/>
        <v>0</v>
      </c>
      <c r="AP216" s="76">
        <f t="shared" si="372"/>
        <v>0</v>
      </c>
      <c r="AR216" s="76">
        <f>SUM(AR212:AR215)</f>
        <v>11514958</v>
      </c>
      <c r="AS216" s="76">
        <f t="shared" ref="AS216:AV216" si="373">SUM(AS212:AS215)</f>
        <v>0</v>
      </c>
      <c r="AT216" s="76">
        <f t="shared" si="373"/>
        <v>0</v>
      </c>
      <c r="AU216" s="76">
        <f t="shared" si="373"/>
        <v>0</v>
      </c>
      <c r="AV216" s="76">
        <f t="shared" si="373"/>
        <v>11514958</v>
      </c>
    </row>
    <row r="217" spans="1:48" ht="16.5" thickBot="1" x14ac:dyDescent="0.3">
      <c r="B217" s="77"/>
      <c r="C217" s="77"/>
      <c r="D217" s="77"/>
      <c r="E217" s="77"/>
      <c r="F217" s="77"/>
      <c r="H217" s="77"/>
      <c r="I217" s="77"/>
      <c r="J217" s="77"/>
      <c r="K217" s="77"/>
      <c r="L217" s="77"/>
      <c r="N217" s="77"/>
      <c r="O217" s="77"/>
      <c r="P217" s="77"/>
      <c r="Q217" s="77"/>
      <c r="R217" s="77"/>
      <c r="T217" s="77"/>
      <c r="U217" s="77"/>
      <c r="V217" s="77"/>
      <c r="W217" s="77"/>
      <c r="X217" s="77"/>
      <c r="Y217" s="79"/>
      <c r="Z217" s="77"/>
      <c r="AA217" s="77"/>
      <c r="AB217" s="77"/>
      <c r="AC217" s="77"/>
      <c r="AD217" s="77"/>
      <c r="AE217" s="79"/>
      <c r="AF217" s="77"/>
      <c r="AG217" s="77"/>
      <c r="AH217" s="77"/>
      <c r="AI217" s="77"/>
      <c r="AJ217" s="77"/>
      <c r="AL217" s="77"/>
      <c r="AM217" s="77"/>
      <c r="AN217" s="77"/>
      <c r="AO217" s="77"/>
      <c r="AP217" s="77"/>
      <c r="AR217" s="77"/>
      <c r="AS217" s="77"/>
      <c r="AT217" s="77"/>
      <c r="AU217" s="77"/>
      <c r="AV217" s="77"/>
    </row>
    <row r="218" spans="1:48" ht="16.5" thickBot="1" x14ac:dyDescent="0.3">
      <c r="A218" s="40"/>
      <c r="B218" s="85">
        <f t="shared" ref="B218:F218" si="374">(B82+B88)-(B216+B209)</f>
        <v>469790.24017909542</v>
      </c>
      <c r="C218" s="85">
        <f t="shared" si="374"/>
        <v>-365572.04030674999</v>
      </c>
      <c r="D218" s="85">
        <f t="shared" si="374"/>
        <v>-43852.948300000047</v>
      </c>
      <c r="E218" s="85">
        <f t="shared" si="374"/>
        <v>0</v>
      </c>
      <c r="F218" s="85">
        <f t="shared" si="374"/>
        <v>60365.251572346315</v>
      </c>
      <c r="H218" s="85">
        <f t="shared" ref="H218:L218" si="375">(H82+H88)-(H216+H209)</f>
        <v>607662.94973827526</v>
      </c>
      <c r="I218" s="85">
        <f t="shared" si="375"/>
        <v>-271679.50280675013</v>
      </c>
      <c r="J218" s="85">
        <f t="shared" si="375"/>
        <v>-68511.39850000001</v>
      </c>
      <c r="K218" s="85">
        <f t="shared" si="375"/>
        <v>0</v>
      </c>
      <c r="L218" s="85">
        <f t="shared" si="375"/>
        <v>267472.04843152501</v>
      </c>
      <c r="N218" s="85">
        <f t="shared" ref="N218:Q218" si="376">(N82+N88)-(N216+N209)</f>
        <v>2010599.5421411023</v>
      </c>
      <c r="O218" s="85">
        <f t="shared" si="376"/>
        <v>-746309.80113275023</v>
      </c>
      <c r="P218" s="85">
        <f t="shared" si="376"/>
        <v>-348328.64800000004</v>
      </c>
      <c r="Q218" s="85">
        <f t="shared" si="376"/>
        <v>0</v>
      </c>
      <c r="R218" s="85">
        <f>(R82+R88)-(R216+R209)</f>
        <v>915961.09300834686</v>
      </c>
      <c r="T218" s="85">
        <f t="shared" ref="T218:X218" si="377">(T82+T88)-(T216+T209)</f>
        <v>375356.15646935068</v>
      </c>
      <c r="U218" s="85">
        <f t="shared" si="377"/>
        <v>-323985.69999999995</v>
      </c>
      <c r="V218" s="85">
        <f t="shared" si="377"/>
        <v>46374.862499999988</v>
      </c>
      <c r="W218" s="85">
        <f t="shared" si="377"/>
        <v>0</v>
      </c>
      <c r="X218" s="85">
        <f t="shared" si="377"/>
        <v>97745.318969350308</v>
      </c>
      <c r="Y218" s="199"/>
      <c r="Z218" s="85">
        <f t="shared" ref="Z218:AD218" si="378">(Z82+Z88)-(Z216+Z209)</f>
        <v>211952.82676159963</v>
      </c>
      <c r="AA218" s="85">
        <f t="shared" si="378"/>
        <v>-594611.125</v>
      </c>
      <c r="AB218" s="85">
        <f t="shared" si="378"/>
        <v>-74947.900000000023</v>
      </c>
      <c r="AC218" s="85">
        <f t="shared" si="378"/>
        <v>0</v>
      </c>
      <c r="AD218" s="85">
        <f t="shared" si="378"/>
        <v>-457606.19823839888</v>
      </c>
      <c r="AE218" s="199"/>
      <c r="AF218" s="85">
        <f t="shared" ref="AF218:AJ218" si="379">(AF82+AF88)-(AF216+AF209)</f>
        <v>591948.21906999871</v>
      </c>
      <c r="AG218" s="85">
        <f t="shared" si="379"/>
        <v>-487156.6875</v>
      </c>
      <c r="AH218" s="85">
        <f t="shared" si="379"/>
        <v>-45664.349999999977</v>
      </c>
      <c r="AI218" s="85">
        <f t="shared" si="379"/>
        <v>0</v>
      </c>
      <c r="AJ218" s="85">
        <f t="shared" si="379"/>
        <v>59127.181569999084</v>
      </c>
      <c r="AL218" s="85">
        <f t="shared" ref="AL218:AP218" si="380">(AL82+AL88)-(AL216+AL209)</f>
        <v>-353159.61678350001</v>
      </c>
      <c r="AM218" s="85">
        <f t="shared" si="380"/>
        <v>-472581.78362512507</v>
      </c>
      <c r="AN218" s="85">
        <f t="shared" si="380"/>
        <v>-106563.37028203125</v>
      </c>
      <c r="AO218" s="85">
        <f t="shared" si="380"/>
        <v>-415.5</v>
      </c>
      <c r="AP218" s="85">
        <f t="shared" si="380"/>
        <v>-932720.27069065627</v>
      </c>
      <c r="AR218" s="85">
        <f t="shared" ref="AR218:AV218" si="381">(AR82+AR88)-(AR216+AR209)</f>
        <v>3914150.3175759166</v>
      </c>
      <c r="AS218" s="85">
        <f t="shared" si="381"/>
        <v>-3261896.6403713748</v>
      </c>
      <c r="AT218" s="85">
        <f t="shared" si="381"/>
        <v>-641493.75258203037</v>
      </c>
      <c r="AU218" s="85">
        <f t="shared" si="381"/>
        <v>-415.5</v>
      </c>
      <c r="AV218" s="85">
        <f t="shared" si="381"/>
        <v>10344.424622505903</v>
      </c>
    </row>
    <row r="219" spans="1:48" x14ac:dyDescent="0.25">
      <c r="B219" s="77"/>
      <c r="C219" s="77"/>
      <c r="D219" s="77"/>
      <c r="E219" s="77"/>
      <c r="F219" s="77"/>
      <c r="H219" s="77"/>
      <c r="I219" s="77"/>
      <c r="J219" s="77"/>
      <c r="K219" s="77"/>
      <c r="L219" s="77"/>
      <c r="N219" s="77"/>
      <c r="O219" s="77"/>
      <c r="P219" s="77"/>
      <c r="Q219" s="77"/>
      <c r="R219" s="77"/>
      <c r="T219" s="77"/>
      <c r="U219" s="77"/>
      <c r="V219" s="77"/>
      <c r="W219" s="77"/>
      <c r="X219" s="77"/>
      <c r="Y219" s="79"/>
      <c r="Z219" s="77"/>
      <c r="AA219" s="77"/>
      <c r="AB219" s="77"/>
      <c r="AC219" s="77"/>
      <c r="AD219" s="77"/>
      <c r="AE219" s="79"/>
      <c r="AF219" s="77"/>
      <c r="AG219" s="77"/>
      <c r="AH219" s="77"/>
      <c r="AI219" s="77"/>
      <c r="AJ219" s="77"/>
      <c r="AL219" s="77"/>
      <c r="AM219" s="77"/>
      <c r="AN219" s="77"/>
      <c r="AO219" s="77"/>
      <c r="AP219" s="77"/>
      <c r="AR219" s="77"/>
      <c r="AS219" s="77"/>
      <c r="AT219" s="77"/>
      <c r="AU219" s="77"/>
      <c r="AV219" s="77"/>
    </row>
    <row r="220" spans="1:48" x14ac:dyDescent="0.25">
      <c r="A220" s="41" t="str">
        <f>A1</f>
        <v>Mater Academy - System</v>
      </c>
      <c r="B220" s="86" t="str">
        <f t="shared" ref="B220:F220" si="382">B20</f>
        <v>Operating</v>
      </c>
      <c r="C220" s="86" t="str">
        <f t="shared" si="382"/>
        <v>SPED</v>
      </c>
      <c r="D220" s="86" t="str">
        <f t="shared" si="382"/>
        <v>NSLP</v>
      </c>
      <c r="E220" s="86" t="str">
        <f t="shared" si="382"/>
        <v>Other</v>
      </c>
      <c r="F220" s="86" t="str">
        <f t="shared" si="382"/>
        <v>FY29- Mtn</v>
      </c>
      <c r="H220" s="86" t="str">
        <f t="shared" ref="H220:L220" si="383">H20</f>
        <v>Operating</v>
      </c>
      <c r="I220" s="86" t="str">
        <f t="shared" si="383"/>
        <v>SPED</v>
      </c>
      <c r="J220" s="86" t="str">
        <f t="shared" si="383"/>
        <v>NSLP</v>
      </c>
      <c r="K220" s="86" t="str">
        <f t="shared" si="383"/>
        <v>Other</v>
      </c>
      <c r="L220" s="86" t="str">
        <f t="shared" si="383"/>
        <v>FY29- Bon</v>
      </c>
      <c r="N220" s="86" t="str">
        <f t="shared" ref="N220:R220" si="384">N20</f>
        <v>Operating</v>
      </c>
      <c r="O220" s="86" t="str">
        <f t="shared" si="384"/>
        <v>SPED</v>
      </c>
      <c r="P220" s="86" t="str">
        <f t="shared" si="384"/>
        <v>NSLP</v>
      </c>
      <c r="Q220" s="86" t="str">
        <f t="shared" si="384"/>
        <v>Other</v>
      </c>
      <c r="R220" s="86" t="str">
        <f t="shared" si="384"/>
        <v>FY29- East</v>
      </c>
      <c r="T220" s="86" t="str">
        <f t="shared" ref="T220:X220" si="385">T20</f>
        <v>Operating</v>
      </c>
      <c r="U220" s="86" t="str">
        <f t="shared" si="385"/>
        <v>SPED</v>
      </c>
      <c r="V220" s="86" t="str">
        <f t="shared" si="385"/>
        <v>NSLP</v>
      </c>
      <c r="W220" s="86" t="str">
        <f t="shared" si="385"/>
        <v>Other</v>
      </c>
      <c r="X220" s="86" t="str">
        <f t="shared" si="385"/>
        <v>FY29- Cactus</v>
      </c>
      <c r="Y220" s="202"/>
      <c r="Z220" s="86" t="str">
        <f t="shared" ref="Z220:AD220" si="386">Z20</f>
        <v>Operating</v>
      </c>
      <c r="AA220" s="86" t="str">
        <f t="shared" si="386"/>
        <v>SPED</v>
      </c>
      <c r="AB220" s="86" t="str">
        <f t="shared" si="386"/>
        <v>NSLP</v>
      </c>
      <c r="AC220" s="86" t="str">
        <f t="shared" si="386"/>
        <v>Other</v>
      </c>
      <c r="AD220" s="86" t="str">
        <f t="shared" si="386"/>
        <v>FY29- Sahara</v>
      </c>
      <c r="AE220" s="202"/>
      <c r="AF220" s="86" t="str">
        <f t="shared" ref="AF220:AJ220" si="387">AF20</f>
        <v>Operating</v>
      </c>
      <c r="AG220" s="86" t="str">
        <f t="shared" si="387"/>
        <v>SPED</v>
      </c>
      <c r="AH220" s="86" t="str">
        <f t="shared" si="387"/>
        <v>NSLP</v>
      </c>
      <c r="AI220" s="86" t="str">
        <f t="shared" si="387"/>
        <v>Other</v>
      </c>
      <c r="AJ220" s="86" t="str">
        <f t="shared" si="387"/>
        <v>FY29- VV</v>
      </c>
      <c r="AL220" s="86" t="str">
        <f t="shared" ref="AL220:AP220" si="388">AL20</f>
        <v>Operating</v>
      </c>
      <c r="AM220" s="86" t="str">
        <f t="shared" si="388"/>
        <v>SPED</v>
      </c>
      <c r="AN220" s="86" t="str">
        <f t="shared" si="388"/>
        <v>NSLP</v>
      </c>
      <c r="AO220" s="86" t="str">
        <f t="shared" si="388"/>
        <v>Grant</v>
      </c>
      <c r="AP220" s="86" t="str">
        <f t="shared" si="388"/>
        <v>FY29 - Central</v>
      </c>
      <c r="AR220" s="86" t="str">
        <f t="shared" ref="AR220:AV220" si="389">AR20</f>
        <v>Operating</v>
      </c>
      <c r="AS220" s="86" t="str">
        <f t="shared" si="389"/>
        <v>SPED</v>
      </c>
      <c r="AT220" s="86" t="str">
        <f t="shared" si="389"/>
        <v>NSLP</v>
      </c>
      <c r="AU220" s="86" t="str">
        <f t="shared" si="389"/>
        <v>Other</v>
      </c>
      <c r="AV220" s="86" t="str">
        <f t="shared" si="389"/>
        <v>FY29- Sys</v>
      </c>
    </row>
    <row r="221" spans="1:48" x14ac:dyDescent="0.25">
      <c r="H221" s="57"/>
      <c r="I221" s="57"/>
      <c r="J221" s="57"/>
      <c r="K221" s="57"/>
    </row>
    <row r="222" spans="1:48" x14ac:dyDescent="0.25">
      <c r="Z222" s="220">
        <f>Z212/(Z82+AA82)</f>
        <v>0.23047528902196221</v>
      </c>
      <c r="AF222" s="220">
        <f>AF212/(AF82+AG82)</f>
        <v>0.21398850421002674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4B99-4FF9-4729-BE8D-0BEA667DFD5A}">
  <dimension ref="A1:AW222"/>
  <sheetViews>
    <sheetView workbookViewId="0">
      <pane xSplit="1" topLeftCell="AC1" activePane="topRight" state="frozen"/>
      <selection activeCell="T77" sqref="T77"/>
      <selection pane="topRight" activeCell="AJ21" sqref="AJ21"/>
    </sheetView>
  </sheetViews>
  <sheetFormatPr defaultRowHeight="15.75" x14ac:dyDescent="0.25"/>
  <cols>
    <col min="1" max="1" width="55.5703125" style="7" bestFit="1" customWidth="1"/>
    <col min="2" max="6" width="14.42578125" customWidth="1"/>
    <col min="8" max="12" width="15" customWidth="1"/>
    <col min="14" max="18" width="15.42578125" customWidth="1"/>
    <col min="20" max="24" width="15.85546875" customWidth="1"/>
    <col min="25" max="25" width="8" customWidth="1"/>
    <col min="26" max="30" width="15.85546875" customWidth="1"/>
    <col min="31" max="31" width="5" customWidth="1"/>
    <col min="32" max="36" width="19.42578125" customWidth="1"/>
    <col min="38" max="42" width="16.42578125" customWidth="1"/>
    <col min="44" max="48" width="16.42578125" customWidth="1"/>
  </cols>
  <sheetData>
    <row r="1" spans="1:45" x14ac:dyDescent="0.25">
      <c r="A1" s="1" t="s">
        <v>0</v>
      </c>
      <c r="B1" s="1" t="s">
        <v>263</v>
      </c>
      <c r="H1" s="1" t="s">
        <v>264</v>
      </c>
      <c r="N1" s="1" t="s">
        <v>266</v>
      </c>
      <c r="O1" s="57"/>
      <c r="T1" s="1" t="s">
        <v>268</v>
      </c>
      <c r="U1" s="57"/>
      <c r="Z1" s="1" t="s">
        <v>337</v>
      </c>
      <c r="AA1" s="57"/>
      <c r="AF1" s="1" t="s">
        <v>342</v>
      </c>
      <c r="AG1" s="57"/>
      <c r="AL1" s="1" t="s">
        <v>270</v>
      </c>
      <c r="AM1" s="57"/>
      <c r="AR1" s="1" t="s">
        <v>334</v>
      </c>
      <c r="AS1" s="57"/>
    </row>
    <row r="2" spans="1:45" x14ac:dyDescent="0.25">
      <c r="A2" s="2" t="s">
        <v>1</v>
      </c>
      <c r="B2" s="42">
        <v>9975</v>
      </c>
      <c r="H2" s="42">
        <f>B2</f>
        <v>9975</v>
      </c>
      <c r="N2" s="42">
        <f>H2</f>
        <v>9975</v>
      </c>
      <c r="O2" s="57"/>
      <c r="T2" s="42">
        <f>N2</f>
        <v>9975</v>
      </c>
      <c r="U2" s="57"/>
      <c r="Z2" s="42">
        <f>T2</f>
        <v>9975</v>
      </c>
      <c r="AA2" s="57"/>
      <c r="AF2" s="42">
        <f>T2</f>
        <v>9975</v>
      </c>
      <c r="AG2" s="57"/>
      <c r="AL2" s="42">
        <f>T2</f>
        <v>9975</v>
      </c>
      <c r="AM2" s="57"/>
      <c r="AR2" s="42">
        <f>AL2</f>
        <v>9975</v>
      </c>
      <c r="AS2" s="57"/>
    </row>
    <row r="3" spans="1:45" x14ac:dyDescent="0.25">
      <c r="A3" s="3" t="s">
        <v>2</v>
      </c>
      <c r="B3" s="43">
        <f>B4+B5+B6+B7+B8+B9+B10+B11+B12+B13+B14+B15+B16</f>
        <v>1028</v>
      </c>
      <c r="H3" s="43">
        <f>H4+H5+H6+H7+H8+H9+H10+H11+H12+H13+H14+H15+H16</f>
        <v>1028</v>
      </c>
      <c r="N3" s="43">
        <f>N4+N5+N6+N7+N8+N9+N10+N11+N12+N13+N14+N15+N16</f>
        <v>2520</v>
      </c>
      <c r="O3" s="90"/>
      <c r="T3" s="43">
        <f>T4+T5+T6+T7+T8+T9+T10+T11+T12+T13+T14+T15+T16</f>
        <v>539</v>
      </c>
      <c r="U3" s="90"/>
      <c r="Z3" s="43">
        <f>Z4+Z5+Z6+Z7+Z8+Z9+Z10+Z11+Z12+Z13+Z14+Z15+Z16</f>
        <v>1144</v>
      </c>
      <c r="AA3" s="90"/>
      <c r="AF3" s="43">
        <f>AF4+AF5+AF6+AF7+AF8+AF9+AF10+AF11+AF12+AF13+AF14+AF15+AF16</f>
        <v>1043</v>
      </c>
      <c r="AG3" s="90"/>
      <c r="AL3" s="43">
        <f>AL4+AL5+AL6+AL7+AL8+AL9+AL10+AL11+AL12+AL13+AL14+AL15+AL16</f>
        <v>0</v>
      </c>
      <c r="AM3" s="90"/>
      <c r="AR3" s="43">
        <f>AR4+AR5+AR6+AR7+AR8+AR9+AR10+AR11+AR12+AR13+AR14+AR15+AR16</f>
        <v>7302</v>
      </c>
      <c r="AS3" s="90"/>
    </row>
    <row r="4" spans="1:45" x14ac:dyDescent="0.25">
      <c r="A4" s="4" t="s">
        <v>3</v>
      </c>
      <c r="B4" s="44">
        <v>104</v>
      </c>
      <c r="C4" s="92">
        <v>4</v>
      </c>
      <c r="H4" s="44">
        <v>104</v>
      </c>
      <c r="I4" s="92">
        <v>4</v>
      </c>
      <c r="N4" s="45">
        <f>26*4</f>
        <v>104</v>
      </c>
      <c r="O4" s="92">
        <v>4</v>
      </c>
      <c r="P4" s="166"/>
      <c r="T4" s="44">
        <f>25*3</f>
        <v>75</v>
      </c>
      <c r="U4" s="92">
        <v>3</v>
      </c>
      <c r="Z4" s="44">
        <f>26*3</f>
        <v>78</v>
      </c>
      <c r="AA4" s="92">
        <v>3</v>
      </c>
      <c r="AF4" s="44">
        <v>100</v>
      </c>
      <c r="AG4" s="92">
        <v>4</v>
      </c>
      <c r="AL4" s="44"/>
      <c r="AM4" s="90"/>
      <c r="AR4" s="44">
        <f>B4+H4+N4+T4+AL4+AF4+Z4</f>
        <v>565</v>
      </c>
      <c r="AS4" s="90"/>
    </row>
    <row r="5" spans="1:45" x14ac:dyDescent="0.25">
      <c r="A5" s="3" t="s">
        <v>4</v>
      </c>
      <c r="B5" s="44">
        <v>111</v>
      </c>
      <c r="C5" s="92">
        <v>4</v>
      </c>
      <c r="H5" s="44">
        <v>111</v>
      </c>
      <c r="I5" s="92">
        <v>4</v>
      </c>
      <c r="N5" s="45">
        <v>111</v>
      </c>
      <c r="O5" s="92">
        <v>4</v>
      </c>
      <c r="P5" s="166"/>
      <c r="T5" s="44">
        <f>26*3</f>
        <v>78</v>
      </c>
      <c r="U5" s="92">
        <v>3</v>
      </c>
      <c r="Z5" s="44">
        <f>28*3-1</f>
        <v>83</v>
      </c>
      <c r="AA5" s="92">
        <v>3</v>
      </c>
      <c r="AF5" s="44">
        <f>27*4</f>
        <v>108</v>
      </c>
      <c r="AG5" s="92">
        <v>4</v>
      </c>
      <c r="AL5" s="44"/>
      <c r="AM5" s="90"/>
      <c r="AR5" s="44">
        <f t="shared" ref="AR5:AR16" si="0">B5+H5+N5+T5+AL5+AF5+Z5</f>
        <v>602</v>
      </c>
      <c r="AS5" s="90"/>
    </row>
    <row r="6" spans="1:45" x14ac:dyDescent="0.25">
      <c r="A6" s="3" t="s">
        <v>5</v>
      </c>
      <c r="B6" s="44">
        <v>111</v>
      </c>
      <c r="C6" s="92">
        <v>4</v>
      </c>
      <c r="H6" s="44">
        <v>111</v>
      </c>
      <c r="I6" s="92">
        <v>4</v>
      </c>
      <c r="N6" s="45">
        <v>111</v>
      </c>
      <c r="O6" s="92">
        <v>4</v>
      </c>
      <c r="P6" s="166"/>
      <c r="T6" s="44">
        <f>28*3</f>
        <v>84</v>
      </c>
      <c r="U6" s="92">
        <v>3</v>
      </c>
      <c r="V6" s="166"/>
      <c r="Z6" s="44">
        <f t="shared" ref="Z6:Z9" si="1">28*3-1</f>
        <v>83</v>
      </c>
      <c r="AA6" s="92">
        <v>3</v>
      </c>
      <c r="AB6" s="166"/>
      <c r="AF6" s="44">
        <f>27*4</f>
        <v>108</v>
      </c>
      <c r="AG6" s="92">
        <v>4</v>
      </c>
      <c r="AH6" s="166"/>
      <c r="AL6" s="44"/>
      <c r="AM6" s="90"/>
      <c r="AR6" s="44">
        <f t="shared" si="0"/>
        <v>608</v>
      </c>
      <c r="AS6" s="90"/>
    </row>
    <row r="7" spans="1:45" x14ac:dyDescent="0.25">
      <c r="A7" s="5" t="s">
        <v>6</v>
      </c>
      <c r="B7" s="44">
        <v>111</v>
      </c>
      <c r="C7" s="92">
        <v>4</v>
      </c>
      <c r="H7" s="44">
        <v>111</v>
      </c>
      <c r="I7" s="92">
        <v>4</v>
      </c>
      <c r="N7" s="45">
        <v>111</v>
      </c>
      <c r="O7" s="92">
        <v>4</v>
      </c>
      <c r="P7" s="166"/>
      <c r="T7" s="44">
        <v>82</v>
      </c>
      <c r="U7" s="92">
        <v>3</v>
      </c>
      <c r="V7" s="166"/>
      <c r="Z7" s="44">
        <f t="shared" si="1"/>
        <v>83</v>
      </c>
      <c r="AA7" s="92">
        <v>3</v>
      </c>
      <c r="AB7" s="166"/>
      <c r="AF7" s="44">
        <f>27*4</f>
        <v>108</v>
      </c>
      <c r="AG7" s="92">
        <v>4</v>
      </c>
      <c r="AH7" s="166"/>
      <c r="AL7" s="44"/>
      <c r="AM7" s="90"/>
      <c r="AR7" s="44">
        <f t="shared" si="0"/>
        <v>606</v>
      </c>
      <c r="AS7" s="90"/>
    </row>
    <row r="8" spans="1:45" x14ac:dyDescent="0.25">
      <c r="A8" s="5" t="s">
        <v>7</v>
      </c>
      <c r="B8" s="44">
        <v>111</v>
      </c>
      <c r="C8" s="92">
        <v>4</v>
      </c>
      <c r="H8" s="44">
        <v>111</v>
      </c>
      <c r="I8" s="92">
        <v>4</v>
      </c>
      <c r="N8" s="45">
        <f>28*5</f>
        <v>140</v>
      </c>
      <c r="O8" s="92">
        <v>5</v>
      </c>
      <c r="P8" s="166"/>
      <c r="T8" s="44">
        <f>28*4-2</f>
        <v>110</v>
      </c>
      <c r="U8" s="92">
        <v>4</v>
      </c>
      <c r="V8" s="166"/>
      <c r="Z8" s="44">
        <f t="shared" si="1"/>
        <v>83</v>
      </c>
      <c r="AA8" s="92">
        <v>3</v>
      </c>
      <c r="AB8" s="166"/>
      <c r="AF8" s="44">
        <v>108</v>
      </c>
      <c r="AG8" s="92">
        <v>4</v>
      </c>
      <c r="AH8" s="166"/>
      <c r="AL8" s="44"/>
      <c r="AM8" s="90"/>
      <c r="AR8" s="44">
        <f t="shared" si="0"/>
        <v>663</v>
      </c>
      <c r="AS8" s="90"/>
    </row>
    <row r="9" spans="1:45" x14ac:dyDescent="0.25">
      <c r="A9" s="5" t="s">
        <v>8</v>
      </c>
      <c r="B9" s="44">
        <v>110</v>
      </c>
      <c r="C9" s="92">
        <v>4</v>
      </c>
      <c r="H9" s="44">
        <v>110</v>
      </c>
      <c r="I9" s="92">
        <v>4</v>
      </c>
      <c r="N9" s="45">
        <f>28*5</f>
        <v>140</v>
      </c>
      <c r="O9" s="92">
        <v>5</v>
      </c>
      <c r="P9" s="166"/>
      <c r="T9" s="44">
        <f>28*4-2</f>
        <v>110</v>
      </c>
      <c r="U9" s="92">
        <v>4</v>
      </c>
      <c r="V9" s="166"/>
      <c r="Z9" s="44">
        <f t="shared" si="1"/>
        <v>83</v>
      </c>
      <c r="AA9" s="92">
        <v>3</v>
      </c>
      <c r="AB9" s="166"/>
      <c r="AF9" s="44">
        <v>108</v>
      </c>
      <c r="AG9" s="92">
        <v>4</v>
      </c>
      <c r="AH9" s="166"/>
      <c r="AL9" s="44"/>
      <c r="AM9" s="90"/>
      <c r="AR9" s="44">
        <f t="shared" si="0"/>
        <v>661</v>
      </c>
      <c r="AS9" s="90"/>
    </row>
    <row r="10" spans="1:45" x14ac:dyDescent="0.25">
      <c r="A10" s="5" t="s">
        <v>9</v>
      </c>
      <c r="B10" s="44">
        <v>124</v>
      </c>
      <c r="C10" s="92">
        <v>4</v>
      </c>
      <c r="H10" s="44">
        <v>124</v>
      </c>
      <c r="I10" s="92">
        <v>4</v>
      </c>
      <c r="N10" s="45">
        <f>32*5</f>
        <v>160</v>
      </c>
      <c r="O10" s="92">
        <v>5</v>
      </c>
      <c r="P10" s="166"/>
      <c r="T10" s="44">
        <v>0</v>
      </c>
      <c r="U10" s="92"/>
      <c r="Z10" s="44">
        <f>31*5</f>
        <v>155</v>
      </c>
      <c r="AA10" s="92">
        <v>5</v>
      </c>
      <c r="AF10" s="44">
        <v>124</v>
      </c>
      <c r="AG10" s="92">
        <v>4</v>
      </c>
      <c r="AL10" s="44"/>
      <c r="AM10" s="90"/>
      <c r="AR10" s="44">
        <f t="shared" si="0"/>
        <v>687</v>
      </c>
      <c r="AS10" s="90"/>
    </row>
    <row r="11" spans="1:45" x14ac:dyDescent="0.25">
      <c r="A11" s="5" t="s">
        <v>10</v>
      </c>
      <c r="B11" s="44">
        <v>124</v>
      </c>
      <c r="C11" s="92">
        <v>4</v>
      </c>
      <c r="H11" s="44">
        <v>124</v>
      </c>
      <c r="I11" s="92">
        <v>4</v>
      </c>
      <c r="N11" s="45">
        <f>32*5</f>
        <v>160</v>
      </c>
      <c r="O11" s="92">
        <v>5</v>
      </c>
      <c r="P11" s="166"/>
      <c r="T11" s="44">
        <v>0</v>
      </c>
      <c r="U11" s="92"/>
      <c r="Z11" s="44">
        <v>155</v>
      </c>
      <c r="AA11" s="92">
        <v>5</v>
      </c>
      <c r="AF11" s="44">
        <v>124</v>
      </c>
      <c r="AG11" s="92">
        <v>4</v>
      </c>
      <c r="AL11" s="44"/>
      <c r="AM11" s="90"/>
      <c r="AR11" s="44">
        <f t="shared" si="0"/>
        <v>687</v>
      </c>
      <c r="AS11" s="90"/>
    </row>
    <row r="12" spans="1:45" x14ac:dyDescent="0.25">
      <c r="A12" s="5" t="s">
        <v>11</v>
      </c>
      <c r="B12" s="44">
        <v>122</v>
      </c>
      <c r="C12" s="92">
        <v>4</v>
      </c>
      <c r="H12" s="44">
        <v>122</v>
      </c>
      <c r="I12" s="92">
        <v>4</v>
      </c>
      <c r="N12" s="45">
        <f>32*5</f>
        <v>160</v>
      </c>
      <c r="O12" s="92">
        <v>5</v>
      </c>
      <c r="P12" s="166"/>
      <c r="T12" s="44">
        <v>0</v>
      </c>
      <c r="U12" s="92"/>
      <c r="Z12" s="44">
        <v>93</v>
      </c>
      <c r="AA12" s="92">
        <v>3</v>
      </c>
      <c r="AF12" s="44">
        <v>155</v>
      </c>
      <c r="AG12" s="92">
        <v>5</v>
      </c>
      <c r="AL12" s="44"/>
      <c r="AM12" s="90"/>
      <c r="AR12" s="44">
        <f t="shared" si="0"/>
        <v>652</v>
      </c>
      <c r="AS12" s="90"/>
    </row>
    <row r="13" spans="1:45" x14ac:dyDescent="0.25">
      <c r="A13" s="5" t="s">
        <v>12</v>
      </c>
      <c r="B13" s="45">
        <v>0</v>
      </c>
      <c r="C13" s="92"/>
      <c r="H13" s="45">
        <v>0</v>
      </c>
      <c r="I13" s="92"/>
      <c r="N13" s="45">
        <f>32*11+3</f>
        <v>355</v>
      </c>
      <c r="O13" s="92">
        <v>11</v>
      </c>
      <c r="P13" s="166"/>
      <c r="T13" s="45">
        <v>0</v>
      </c>
      <c r="U13" s="92"/>
      <c r="Z13" s="45">
        <v>155</v>
      </c>
      <c r="AA13" s="92">
        <v>5</v>
      </c>
      <c r="AF13" s="45">
        <v>0</v>
      </c>
      <c r="AG13" s="92"/>
      <c r="AL13" s="45"/>
      <c r="AM13" s="90"/>
      <c r="AR13" s="44">
        <f t="shared" si="0"/>
        <v>510</v>
      </c>
      <c r="AS13" s="90"/>
    </row>
    <row r="14" spans="1:45" x14ac:dyDescent="0.25">
      <c r="A14" s="5" t="s">
        <v>13</v>
      </c>
      <c r="B14" s="45">
        <v>0</v>
      </c>
      <c r="C14" s="92"/>
      <c r="H14" s="45">
        <v>0</v>
      </c>
      <c r="I14" s="92"/>
      <c r="N14" s="45">
        <v>345</v>
      </c>
      <c r="O14" s="92">
        <v>11</v>
      </c>
      <c r="P14" s="166"/>
      <c r="T14" s="45">
        <v>0</v>
      </c>
      <c r="U14" s="92"/>
      <c r="Z14" s="45">
        <v>93</v>
      </c>
      <c r="AA14" s="92">
        <v>3</v>
      </c>
      <c r="AF14" s="45">
        <v>0</v>
      </c>
      <c r="AG14" s="92"/>
      <c r="AL14" s="45">
        <v>0</v>
      </c>
      <c r="AM14" s="90"/>
      <c r="AR14" s="44">
        <f t="shared" si="0"/>
        <v>438</v>
      </c>
      <c r="AS14" s="90"/>
    </row>
    <row r="15" spans="1:45" x14ac:dyDescent="0.25">
      <c r="A15" s="5" t="s">
        <v>14</v>
      </c>
      <c r="B15" s="45">
        <v>0</v>
      </c>
      <c r="C15" s="92"/>
      <c r="H15" s="45">
        <v>0</v>
      </c>
      <c r="I15" s="92"/>
      <c r="N15" s="45">
        <v>333</v>
      </c>
      <c r="O15" s="92">
        <v>11</v>
      </c>
      <c r="P15" s="166"/>
      <c r="T15" s="45">
        <v>0</v>
      </c>
      <c r="U15" s="92"/>
      <c r="Z15" s="45">
        <v>0</v>
      </c>
      <c r="AA15" s="92"/>
      <c r="AF15" s="45">
        <v>0</v>
      </c>
      <c r="AG15" s="92"/>
      <c r="AL15" s="45">
        <v>0</v>
      </c>
      <c r="AM15" s="90"/>
      <c r="AR15" s="44">
        <f t="shared" si="0"/>
        <v>333</v>
      </c>
      <c r="AS15" s="90"/>
    </row>
    <row r="16" spans="1:45" x14ac:dyDescent="0.25">
      <c r="A16" s="5" t="s">
        <v>15</v>
      </c>
      <c r="B16" s="45">
        <v>0</v>
      </c>
      <c r="C16" s="92"/>
      <c r="H16" s="45">
        <v>0</v>
      </c>
      <c r="I16" s="92"/>
      <c r="N16" s="45">
        <v>290</v>
      </c>
      <c r="O16" s="92">
        <v>10</v>
      </c>
      <c r="P16" s="166"/>
      <c r="T16" s="45">
        <v>0</v>
      </c>
      <c r="U16" s="92"/>
      <c r="Z16" s="45">
        <v>0</v>
      </c>
      <c r="AA16" s="92"/>
      <c r="AF16" s="45">
        <v>0</v>
      </c>
      <c r="AG16" s="92"/>
      <c r="AL16" s="45">
        <v>0</v>
      </c>
      <c r="AM16" s="90"/>
      <c r="AR16" s="44">
        <f t="shared" si="0"/>
        <v>290</v>
      </c>
      <c r="AS16" s="90"/>
    </row>
    <row r="17" spans="1:48" x14ac:dyDescent="0.25">
      <c r="A17" s="6" t="s">
        <v>2</v>
      </c>
      <c r="B17" s="43">
        <f>SUM(B4:B16)</f>
        <v>1028</v>
      </c>
      <c r="C17" s="92">
        <f>SUM(C4:C16)</f>
        <v>36</v>
      </c>
      <c r="H17" s="43">
        <f>SUM(H4:H16)</f>
        <v>1028</v>
      </c>
      <c r="I17" s="92">
        <f>SUM(I4:I16)</f>
        <v>36</v>
      </c>
      <c r="N17" s="43">
        <f>SUM(N4:N16)</f>
        <v>2520</v>
      </c>
      <c r="O17" s="92">
        <f>SUM(O4:O16)</f>
        <v>84</v>
      </c>
      <c r="P17" s="166"/>
      <c r="T17" s="43">
        <f>SUM(T4:T16)</f>
        <v>539</v>
      </c>
      <c r="U17" s="92">
        <f>SUM(U4:U16)</f>
        <v>20</v>
      </c>
      <c r="Z17" s="43">
        <f>SUM(Z4:Z16)</f>
        <v>1144</v>
      </c>
      <c r="AA17" s="92">
        <f>SUM(AA4:AA16)</f>
        <v>39</v>
      </c>
      <c r="AF17" s="43">
        <f>SUM(AF4:AF16)</f>
        <v>1043</v>
      </c>
      <c r="AG17" s="92">
        <f>SUM(AG4:AG16)</f>
        <v>37</v>
      </c>
      <c r="AH17" s="151">
        <f>'FY28'!AF17*0.35</f>
        <v>273</v>
      </c>
      <c r="AL17" s="43">
        <f>SUM(AL4:AL16)</f>
        <v>0</v>
      </c>
      <c r="AM17" s="90"/>
      <c r="AR17" s="43">
        <f>SUM(AR4:AR16)</f>
        <v>7302</v>
      </c>
      <c r="AS17" s="90"/>
    </row>
    <row r="18" spans="1:48" x14ac:dyDescent="0.25">
      <c r="AH18">
        <f>'FY28'!AF17*0.12</f>
        <v>93.6</v>
      </c>
    </row>
    <row r="20" spans="1:48" x14ac:dyDescent="0.25">
      <c r="A20" s="8" t="s">
        <v>16</v>
      </c>
      <c r="B20" s="46" t="s">
        <v>157</v>
      </c>
      <c r="C20" s="46" t="s">
        <v>158</v>
      </c>
      <c r="D20" s="46" t="s">
        <v>159</v>
      </c>
      <c r="E20" s="46" t="s">
        <v>160</v>
      </c>
      <c r="F20" s="46" t="s">
        <v>339</v>
      </c>
      <c r="H20" s="46" t="s">
        <v>157</v>
      </c>
      <c r="I20" s="46" t="s">
        <v>158</v>
      </c>
      <c r="J20" s="46" t="s">
        <v>159</v>
      </c>
      <c r="K20" s="46" t="s">
        <v>160</v>
      </c>
      <c r="L20" s="46" t="s">
        <v>265</v>
      </c>
      <c r="N20" s="46" t="s">
        <v>157</v>
      </c>
      <c r="O20" s="46" t="s">
        <v>158</v>
      </c>
      <c r="P20" s="46" t="s">
        <v>159</v>
      </c>
      <c r="Q20" s="46" t="s">
        <v>160</v>
      </c>
      <c r="R20" s="46" t="s">
        <v>267</v>
      </c>
      <c r="T20" s="46" t="s">
        <v>157</v>
      </c>
      <c r="U20" s="46" t="s">
        <v>158</v>
      </c>
      <c r="V20" s="46" t="s">
        <v>159</v>
      </c>
      <c r="W20" s="46" t="s">
        <v>160</v>
      </c>
      <c r="X20" s="46" t="s">
        <v>269</v>
      </c>
      <c r="Y20" s="195"/>
      <c r="Z20" s="46" t="s">
        <v>157</v>
      </c>
      <c r="AA20" s="46" t="s">
        <v>158</v>
      </c>
      <c r="AB20" s="46" t="s">
        <v>159</v>
      </c>
      <c r="AC20" s="46" t="s">
        <v>160</v>
      </c>
      <c r="AD20" s="46" t="s">
        <v>338</v>
      </c>
      <c r="AE20" s="195"/>
      <c r="AF20" s="46" t="s">
        <v>157</v>
      </c>
      <c r="AG20" s="46" t="s">
        <v>158</v>
      </c>
      <c r="AH20" s="46" t="s">
        <v>159</v>
      </c>
      <c r="AI20" s="46" t="s">
        <v>160</v>
      </c>
      <c r="AJ20" s="46" t="s">
        <v>304</v>
      </c>
      <c r="AL20" s="46" t="s">
        <v>157</v>
      </c>
      <c r="AM20" s="46" t="s">
        <v>158</v>
      </c>
      <c r="AN20" s="46" t="s">
        <v>159</v>
      </c>
      <c r="AO20" s="46" t="s">
        <v>280</v>
      </c>
      <c r="AP20" s="46" t="s">
        <v>271</v>
      </c>
      <c r="AR20" s="46" t="s">
        <v>157</v>
      </c>
      <c r="AS20" s="46" t="s">
        <v>158</v>
      </c>
      <c r="AT20" s="46" t="s">
        <v>159</v>
      </c>
      <c r="AU20" s="46" t="s">
        <v>160</v>
      </c>
      <c r="AV20" s="46" t="s">
        <v>261</v>
      </c>
    </row>
    <row r="21" spans="1:48" x14ac:dyDescent="0.25">
      <c r="A21" s="5" t="s">
        <v>17</v>
      </c>
      <c r="B21" s="45"/>
      <c r="C21" s="45">
        <v>105</v>
      </c>
      <c r="D21" s="45"/>
      <c r="E21" s="45"/>
      <c r="F21" s="45">
        <f>SUM(B21:E21)</f>
        <v>105</v>
      </c>
      <c r="H21" s="45"/>
      <c r="I21" s="45">
        <v>105</v>
      </c>
      <c r="J21" s="45"/>
      <c r="K21" s="45"/>
      <c r="L21" s="45">
        <f>SUM(H21:K21)</f>
        <v>105</v>
      </c>
      <c r="N21" s="45"/>
      <c r="O21" s="45">
        <v>270</v>
      </c>
      <c r="P21" s="45"/>
      <c r="Q21" s="45"/>
      <c r="R21" s="45">
        <f>SUM(N21:Q21)</f>
        <v>270</v>
      </c>
      <c r="T21" s="45"/>
      <c r="U21" s="45">
        <v>60</v>
      </c>
      <c r="V21" s="45"/>
      <c r="W21" s="45"/>
      <c r="X21" s="45">
        <f>SUM(T21:W21)</f>
        <v>60</v>
      </c>
      <c r="Y21" s="196"/>
      <c r="Z21" s="45"/>
      <c r="AA21" s="45">
        <v>103</v>
      </c>
      <c r="AB21" s="45"/>
      <c r="AC21" s="45"/>
      <c r="AD21" s="45">
        <f>SUM(Z21:AC21)</f>
        <v>103</v>
      </c>
      <c r="AE21" s="196"/>
      <c r="AF21" s="45"/>
      <c r="AG21" s="45">
        <v>113</v>
      </c>
      <c r="AH21" s="45"/>
      <c r="AI21" s="45"/>
      <c r="AJ21" s="45">
        <f>SUM(AF21:AI21)</f>
        <v>113</v>
      </c>
      <c r="AL21" s="47"/>
      <c r="AM21" s="47"/>
      <c r="AN21" s="47"/>
      <c r="AO21" s="45"/>
      <c r="AP21" s="45">
        <f>SUM(AL21:AO21)</f>
        <v>0</v>
      </c>
      <c r="AR21" s="47">
        <f>B21+H21+N21+T21+AL21+AF21+Z21</f>
        <v>0</v>
      </c>
      <c r="AS21" s="47">
        <f t="shared" ref="AS21:AU24" si="2">C21+I21+O21+U21+AM21+AG21+AA21</f>
        <v>756</v>
      </c>
      <c r="AT21" s="47">
        <f t="shared" si="2"/>
        <v>0</v>
      </c>
      <c r="AU21" s="47">
        <f t="shared" si="2"/>
        <v>0</v>
      </c>
      <c r="AV21" s="45">
        <f>SUM(AR21:AU21)</f>
        <v>756</v>
      </c>
    </row>
    <row r="22" spans="1:48" x14ac:dyDescent="0.25">
      <c r="A22" s="5" t="s">
        <v>18</v>
      </c>
      <c r="B22" s="45">
        <v>360</v>
      </c>
      <c r="C22" s="45"/>
      <c r="D22" s="45"/>
      <c r="E22" s="45"/>
      <c r="F22" s="45">
        <f t="shared" ref="F22:F25" si="3">SUM(B22:E22)</f>
        <v>360</v>
      </c>
      <c r="H22" s="45">
        <v>360</v>
      </c>
      <c r="I22" s="45"/>
      <c r="J22" s="45"/>
      <c r="K22" s="45"/>
      <c r="L22" s="45">
        <f t="shared" ref="L22:L25" si="4">SUM(H22:K22)</f>
        <v>360</v>
      </c>
      <c r="N22" s="45">
        <v>740</v>
      </c>
      <c r="O22" s="45"/>
      <c r="P22" s="45"/>
      <c r="Q22" s="45"/>
      <c r="R22" s="45">
        <f t="shared" ref="R22:R25" si="5">SUM(N22:Q22)</f>
        <v>740</v>
      </c>
      <c r="T22" s="45">
        <v>80</v>
      </c>
      <c r="U22" s="45"/>
      <c r="V22" s="45"/>
      <c r="W22" s="45"/>
      <c r="X22" s="45">
        <f t="shared" ref="X22:X25" si="6">SUM(T22:W22)</f>
        <v>80</v>
      </c>
      <c r="Y22" s="196"/>
      <c r="Z22" s="45">
        <v>305</v>
      </c>
      <c r="AA22" s="45"/>
      <c r="AB22" s="45"/>
      <c r="AC22" s="45"/>
      <c r="AD22" s="45">
        <f t="shared" ref="AD22:AD25" si="7">SUM(Z22:AC22)</f>
        <v>305</v>
      </c>
      <c r="AE22" s="196"/>
      <c r="AF22" s="45">
        <v>300</v>
      </c>
      <c r="AG22" s="45"/>
      <c r="AH22" s="45"/>
      <c r="AI22" s="45"/>
      <c r="AJ22" s="45">
        <f t="shared" ref="AJ22:AJ25" si="8">SUM(AF22:AI22)</f>
        <v>300</v>
      </c>
      <c r="AL22" s="47"/>
      <c r="AM22" s="47"/>
      <c r="AN22" s="47"/>
      <c r="AO22" s="45"/>
      <c r="AP22" s="45">
        <f t="shared" ref="AP22:AP25" si="9">SUM(AL22:AO22)</f>
        <v>0</v>
      </c>
      <c r="AR22" s="47">
        <f t="shared" ref="AR22:AR24" si="10">B22+H22+N22+T22+AL22+AF22+Z22</f>
        <v>2145</v>
      </c>
      <c r="AS22" s="47">
        <f t="shared" si="2"/>
        <v>0</v>
      </c>
      <c r="AT22" s="47">
        <f t="shared" si="2"/>
        <v>0</v>
      </c>
      <c r="AU22" s="47">
        <f t="shared" si="2"/>
        <v>0</v>
      </c>
      <c r="AV22" s="45">
        <f t="shared" ref="AV22:AV25" si="11">SUM(AR22:AU22)</f>
        <v>2145</v>
      </c>
    </row>
    <row r="23" spans="1:48" x14ac:dyDescent="0.25">
      <c r="A23" s="5" t="s">
        <v>19</v>
      </c>
      <c r="B23" s="47">
        <v>0</v>
      </c>
      <c r="C23" s="47"/>
      <c r="D23" s="47"/>
      <c r="E23" s="47"/>
      <c r="F23" s="45">
        <f t="shared" si="3"/>
        <v>0</v>
      </c>
      <c r="H23" s="47">
        <v>0</v>
      </c>
      <c r="I23" s="47"/>
      <c r="J23" s="47"/>
      <c r="K23" s="47"/>
      <c r="L23" s="45">
        <f t="shared" si="4"/>
        <v>0</v>
      </c>
      <c r="N23" s="47">
        <v>0</v>
      </c>
      <c r="O23" s="47"/>
      <c r="P23" s="47"/>
      <c r="Q23" s="47"/>
      <c r="R23" s="45">
        <f t="shared" si="5"/>
        <v>0</v>
      </c>
      <c r="T23" s="47">
        <v>0</v>
      </c>
      <c r="U23" s="47"/>
      <c r="V23" s="47"/>
      <c r="W23" s="47"/>
      <c r="X23" s="45">
        <f t="shared" si="6"/>
        <v>0</v>
      </c>
      <c r="Y23" s="196"/>
      <c r="Z23" s="47">
        <v>0</v>
      </c>
      <c r="AA23" s="47"/>
      <c r="AB23" s="47"/>
      <c r="AC23" s="47"/>
      <c r="AD23" s="45">
        <f t="shared" si="7"/>
        <v>0</v>
      </c>
      <c r="AE23" s="196"/>
      <c r="AF23" s="47">
        <v>0</v>
      </c>
      <c r="AG23" s="47"/>
      <c r="AH23" s="47"/>
      <c r="AI23" s="47"/>
      <c r="AJ23" s="45">
        <f t="shared" si="8"/>
        <v>0</v>
      </c>
      <c r="AL23" s="47"/>
      <c r="AM23" s="47"/>
      <c r="AN23" s="47"/>
      <c r="AO23" s="47"/>
      <c r="AP23" s="45">
        <f t="shared" si="9"/>
        <v>0</v>
      </c>
      <c r="AR23" s="47">
        <f t="shared" si="10"/>
        <v>0</v>
      </c>
      <c r="AS23" s="47">
        <f t="shared" si="2"/>
        <v>0</v>
      </c>
      <c r="AT23" s="47">
        <f t="shared" si="2"/>
        <v>0</v>
      </c>
      <c r="AU23" s="47">
        <f t="shared" si="2"/>
        <v>0</v>
      </c>
      <c r="AV23" s="45">
        <f t="shared" si="11"/>
        <v>0</v>
      </c>
    </row>
    <row r="24" spans="1:48" x14ac:dyDescent="0.25">
      <c r="A24" s="5" t="s">
        <v>20</v>
      </c>
      <c r="B24" s="47">
        <v>0</v>
      </c>
      <c r="C24" s="47"/>
      <c r="D24" s="47"/>
      <c r="E24" s="47"/>
      <c r="F24" s="45">
        <f t="shared" si="3"/>
        <v>0</v>
      </c>
      <c r="H24" s="47">
        <v>0</v>
      </c>
      <c r="I24" s="47"/>
      <c r="J24" s="47"/>
      <c r="K24" s="47"/>
      <c r="L24" s="45">
        <f t="shared" si="4"/>
        <v>0</v>
      </c>
      <c r="N24" s="47">
        <v>5</v>
      </c>
      <c r="O24" s="47"/>
      <c r="P24" s="47"/>
      <c r="Q24" s="47"/>
      <c r="R24" s="45">
        <f t="shared" si="5"/>
        <v>5</v>
      </c>
      <c r="T24" s="165">
        <v>50</v>
      </c>
      <c r="U24" s="47"/>
      <c r="V24" s="47"/>
      <c r="W24" s="47"/>
      <c r="X24" s="45">
        <f t="shared" si="6"/>
        <v>50</v>
      </c>
      <c r="Y24" s="196"/>
      <c r="Z24" s="47">
        <v>0</v>
      </c>
      <c r="AA24" s="47"/>
      <c r="AB24" s="47"/>
      <c r="AC24" s="47"/>
      <c r="AD24" s="45">
        <f t="shared" si="7"/>
        <v>0</v>
      </c>
      <c r="AE24" s="196"/>
      <c r="AF24" s="165">
        <v>100</v>
      </c>
      <c r="AG24" s="47"/>
      <c r="AH24" s="47"/>
      <c r="AI24" s="47"/>
      <c r="AJ24" s="45">
        <f t="shared" si="8"/>
        <v>100</v>
      </c>
      <c r="AL24" s="47"/>
      <c r="AM24" s="47"/>
      <c r="AN24" s="47"/>
      <c r="AO24" s="47"/>
      <c r="AP24" s="45">
        <f t="shared" si="9"/>
        <v>0</v>
      </c>
      <c r="AR24" s="47">
        <f t="shared" si="10"/>
        <v>155</v>
      </c>
      <c r="AS24" s="47">
        <f t="shared" si="2"/>
        <v>0</v>
      </c>
      <c r="AT24" s="47">
        <f t="shared" si="2"/>
        <v>0</v>
      </c>
      <c r="AU24" s="47">
        <f t="shared" si="2"/>
        <v>0</v>
      </c>
      <c r="AV24" s="45">
        <f t="shared" si="11"/>
        <v>155</v>
      </c>
    </row>
    <row r="25" spans="1:48" x14ac:dyDescent="0.25">
      <c r="A25" s="5" t="s">
        <v>21</v>
      </c>
      <c r="B25" s="48"/>
      <c r="C25" s="48"/>
      <c r="D25" s="49">
        <v>1</v>
      </c>
      <c r="E25" s="49"/>
      <c r="F25" s="45">
        <f t="shared" si="3"/>
        <v>1</v>
      </c>
      <c r="H25" s="48"/>
      <c r="I25" s="48"/>
      <c r="J25" s="49">
        <v>1</v>
      </c>
      <c r="K25" s="49"/>
      <c r="L25" s="45">
        <f t="shared" si="4"/>
        <v>1</v>
      </c>
      <c r="N25" s="48"/>
      <c r="O25" s="48"/>
      <c r="P25" s="49">
        <v>1</v>
      </c>
      <c r="Q25" s="49"/>
      <c r="R25" s="45">
        <f t="shared" si="5"/>
        <v>1</v>
      </c>
      <c r="T25" s="48"/>
      <c r="U25" s="48"/>
      <c r="V25" s="49">
        <v>1</v>
      </c>
      <c r="W25" s="49"/>
      <c r="X25" s="45">
        <f t="shared" si="6"/>
        <v>1</v>
      </c>
      <c r="Y25" s="196"/>
      <c r="Z25" s="48"/>
      <c r="AA25" s="48"/>
      <c r="AB25" s="49">
        <v>1</v>
      </c>
      <c r="AC25" s="49"/>
      <c r="AD25" s="45">
        <f t="shared" si="7"/>
        <v>1</v>
      </c>
      <c r="AE25" s="196"/>
      <c r="AF25" s="48"/>
      <c r="AG25" s="48"/>
      <c r="AH25" s="49">
        <v>1</v>
      </c>
      <c r="AI25" s="49"/>
      <c r="AJ25" s="45">
        <f t="shared" si="8"/>
        <v>1</v>
      </c>
      <c r="AL25" s="48"/>
      <c r="AM25" s="48"/>
      <c r="AN25" s="49"/>
      <c r="AO25" s="49"/>
      <c r="AP25" s="45">
        <f t="shared" si="9"/>
        <v>0</v>
      </c>
      <c r="AR25" s="47">
        <f t="shared" ref="AR25" si="12">B25+H25+N25+T25+AL25+AF25</f>
        <v>0</v>
      </c>
      <c r="AS25" s="47">
        <f>C25+I25+O25+U25+AM25+AG25</f>
        <v>0</v>
      </c>
      <c r="AT25" s="48">
        <v>1</v>
      </c>
      <c r="AU25" s="47">
        <f>E25+K25+Q25+W25+AO25+AI25</f>
        <v>0</v>
      </c>
      <c r="AV25" s="45">
        <f t="shared" si="11"/>
        <v>1</v>
      </c>
    </row>
    <row r="26" spans="1:48" x14ac:dyDescent="0.25">
      <c r="A26" s="9" t="s">
        <v>22</v>
      </c>
      <c r="B26" s="46" t="s">
        <v>157</v>
      </c>
      <c r="C26" s="46" t="s">
        <v>158</v>
      </c>
      <c r="D26" s="46" t="s">
        <v>159</v>
      </c>
      <c r="E26" s="46" t="str">
        <f>E20</f>
        <v>Other</v>
      </c>
      <c r="F26" s="46" t="str">
        <f>F20</f>
        <v>FY30- Mtn</v>
      </c>
      <c r="H26" s="46" t="s">
        <v>157</v>
      </c>
      <c r="I26" s="46" t="s">
        <v>158</v>
      </c>
      <c r="J26" s="46" t="s">
        <v>159</v>
      </c>
      <c r="K26" s="46" t="str">
        <f>K20</f>
        <v>Other</v>
      </c>
      <c r="L26" s="46" t="str">
        <f>L20</f>
        <v>FY30- Bon</v>
      </c>
      <c r="N26" s="46" t="s">
        <v>157</v>
      </c>
      <c r="O26" s="46" t="s">
        <v>158</v>
      </c>
      <c r="P26" s="46" t="s">
        <v>159</v>
      </c>
      <c r="Q26" s="46" t="str">
        <f>Q20</f>
        <v>Other</v>
      </c>
      <c r="R26" s="46" t="str">
        <f>R20</f>
        <v>FY30- East</v>
      </c>
      <c r="T26" s="46" t="s">
        <v>157</v>
      </c>
      <c r="U26" s="46" t="s">
        <v>158</v>
      </c>
      <c r="V26" s="46" t="s">
        <v>159</v>
      </c>
      <c r="W26" s="46" t="str">
        <f>W20</f>
        <v>Other</v>
      </c>
      <c r="X26" s="46" t="str">
        <f>X20</f>
        <v>FY30- Cactus</v>
      </c>
      <c r="Y26" s="195"/>
      <c r="Z26" s="46" t="s">
        <v>157</v>
      </c>
      <c r="AA26" s="46" t="s">
        <v>158</v>
      </c>
      <c r="AB26" s="46" t="s">
        <v>159</v>
      </c>
      <c r="AC26" s="46" t="str">
        <f>AC20</f>
        <v>Other</v>
      </c>
      <c r="AD26" s="46" t="str">
        <f>AD20</f>
        <v>FY30- Sahara</v>
      </c>
      <c r="AE26" s="195"/>
      <c r="AF26" s="46" t="s">
        <v>157</v>
      </c>
      <c r="AG26" s="46" t="s">
        <v>158</v>
      </c>
      <c r="AH26" s="46" t="s">
        <v>159</v>
      </c>
      <c r="AI26" s="46" t="str">
        <f>AI20</f>
        <v>Other</v>
      </c>
      <c r="AJ26" s="46" t="str">
        <f>AJ20</f>
        <v>FY30- VV</v>
      </c>
      <c r="AL26" s="46" t="s">
        <v>157</v>
      </c>
      <c r="AM26" s="46" t="s">
        <v>158</v>
      </c>
      <c r="AN26" s="46" t="s">
        <v>159</v>
      </c>
      <c r="AO26" s="46" t="str">
        <f>AO20</f>
        <v>Grant</v>
      </c>
      <c r="AP26" s="46" t="str">
        <f>AP20</f>
        <v>FY30 - Central</v>
      </c>
      <c r="AR26" s="46" t="s">
        <v>157</v>
      </c>
      <c r="AS26" s="46" t="s">
        <v>158</v>
      </c>
      <c r="AT26" s="46" t="s">
        <v>159</v>
      </c>
      <c r="AU26" s="46" t="str">
        <f>AU20</f>
        <v>Other</v>
      </c>
      <c r="AV26" s="46" t="str">
        <f>AV20</f>
        <v>FY29- Sys</v>
      </c>
    </row>
    <row r="27" spans="1:48" x14ac:dyDescent="0.25">
      <c r="A27" s="10" t="s">
        <v>23</v>
      </c>
      <c r="B27" s="50">
        <v>36</v>
      </c>
      <c r="C27" s="50"/>
      <c r="D27" s="50"/>
      <c r="E27" s="50"/>
      <c r="F27" s="50">
        <f>SUM(B27:E27)</f>
        <v>36</v>
      </c>
      <c r="H27" s="50">
        <v>36</v>
      </c>
      <c r="I27" s="50"/>
      <c r="J27" s="50"/>
      <c r="K27" s="50"/>
      <c r="L27" s="50">
        <f>SUM(H27:K27)</f>
        <v>36</v>
      </c>
      <c r="N27" s="51">
        <v>84</v>
      </c>
      <c r="O27" s="50"/>
      <c r="P27" s="50"/>
      <c r="Q27" s="50"/>
      <c r="R27" s="50">
        <f>SUM(N27:Q27)</f>
        <v>84</v>
      </c>
      <c r="T27" s="50">
        <v>20</v>
      </c>
      <c r="U27" s="50"/>
      <c r="V27" s="50"/>
      <c r="W27" s="50"/>
      <c r="X27" s="50">
        <f>SUM(T27:W27)</f>
        <v>20</v>
      </c>
      <c r="Y27" s="193"/>
      <c r="Z27" s="50">
        <v>39</v>
      </c>
      <c r="AA27" s="50"/>
      <c r="AB27" s="50"/>
      <c r="AC27" s="50"/>
      <c r="AD27" s="50">
        <f>SUM(Z27:AC27)</f>
        <v>39</v>
      </c>
      <c r="AE27" s="193"/>
      <c r="AF27" s="50">
        <v>37</v>
      </c>
      <c r="AG27" s="50"/>
      <c r="AH27" s="50"/>
      <c r="AI27" s="50"/>
      <c r="AJ27" s="50">
        <f>SUM(AF27:AI27)</f>
        <v>37</v>
      </c>
      <c r="AK27" s="151">
        <f>AJ27/6</f>
        <v>6.166666666666667</v>
      </c>
      <c r="AL27" s="50"/>
      <c r="AM27" s="50"/>
      <c r="AN27" s="50"/>
      <c r="AO27" s="50"/>
      <c r="AP27" s="50">
        <f>SUM(AL27:AO27)</f>
        <v>0</v>
      </c>
      <c r="AR27" s="50">
        <f>B27+H27+N27+T27+AL27+AF27+Z27</f>
        <v>252</v>
      </c>
      <c r="AS27" s="50">
        <f t="shared" ref="AS27:AU35" si="13">C27+I27+O27+U27+AM27+AG27+AA27</f>
        <v>0</v>
      </c>
      <c r="AT27" s="50">
        <f t="shared" si="13"/>
        <v>0</v>
      </c>
      <c r="AU27" s="50">
        <f t="shared" si="13"/>
        <v>0</v>
      </c>
      <c r="AV27" s="50">
        <f>SUM(AR27:AU27)</f>
        <v>252</v>
      </c>
    </row>
    <row r="28" spans="1:48" x14ac:dyDescent="0.25">
      <c r="A28" s="10" t="s">
        <v>24</v>
      </c>
      <c r="B28" s="51">
        <v>0</v>
      </c>
      <c r="C28" s="51">
        <v>5</v>
      </c>
      <c r="D28" s="51"/>
      <c r="E28" s="51"/>
      <c r="F28" s="50">
        <f t="shared" ref="F28:F35" si="14">SUM(B28:E28)</f>
        <v>5</v>
      </c>
      <c r="H28" s="51">
        <v>0</v>
      </c>
      <c r="I28" s="51">
        <v>4</v>
      </c>
      <c r="J28" s="51"/>
      <c r="K28" s="51"/>
      <c r="L28" s="50">
        <f t="shared" ref="L28:L35" si="15">SUM(H28:K28)</f>
        <v>4</v>
      </c>
      <c r="N28" s="51">
        <v>0</v>
      </c>
      <c r="O28" s="51">
        <v>14</v>
      </c>
      <c r="P28" s="51"/>
      <c r="Q28" s="51"/>
      <c r="R28" s="50">
        <f t="shared" ref="R28:R35" si="16">SUM(N28:Q28)</f>
        <v>14</v>
      </c>
      <c r="T28" s="51">
        <v>0</v>
      </c>
      <c r="U28" s="51">
        <v>3</v>
      </c>
      <c r="V28" s="51"/>
      <c r="W28" s="51"/>
      <c r="X28" s="50">
        <f t="shared" ref="X28:X35" si="17">SUM(T28:W28)</f>
        <v>3</v>
      </c>
      <c r="Y28" s="193"/>
      <c r="Z28" s="51">
        <v>0</v>
      </c>
      <c r="AA28" s="51">
        <v>6</v>
      </c>
      <c r="AB28" s="51"/>
      <c r="AC28" s="51"/>
      <c r="AD28" s="50">
        <f t="shared" ref="AD28:AD35" si="18">SUM(Z28:AC28)</f>
        <v>6</v>
      </c>
      <c r="AE28" s="193"/>
      <c r="AF28" s="51">
        <v>0</v>
      </c>
      <c r="AG28" s="51">
        <v>5</v>
      </c>
      <c r="AH28" s="51"/>
      <c r="AI28" s="51"/>
      <c r="AJ28" s="50">
        <f t="shared" ref="AJ28:AJ35" si="19">SUM(AF28:AI28)</f>
        <v>5</v>
      </c>
      <c r="AL28" s="51"/>
      <c r="AM28" s="51"/>
      <c r="AN28" s="51"/>
      <c r="AO28" s="51"/>
      <c r="AP28" s="50">
        <f t="shared" ref="AP28:AP35" si="20">SUM(AL28:AO28)</f>
        <v>0</v>
      </c>
      <c r="AR28" s="50">
        <f t="shared" ref="AR28:AR35" si="21">B28+H28+N28+T28+AL28+AF28+Z28</f>
        <v>0</v>
      </c>
      <c r="AS28" s="50">
        <f t="shared" si="13"/>
        <v>37</v>
      </c>
      <c r="AT28" s="50">
        <f t="shared" si="13"/>
        <v>0</v>
      </c>
      <c r="AU28" s="50">
        <f t="shared" si="13"/>
        <v>0</v>
      </c>
      <c r="AV28" s="50">
        <f t="shared" ref="AV28:AV35" si="22">SUM(AR28:AU28)</f>
        <v>37</v>
      </c>
    </row>
    <row r="29" spans="1:48" x14ac:dyDescent="0.25">
      <c r="A29" s="10" t="s">
        <v>25</v>
      </c>
      <c r="B29" s="50">
        <v>1</v>
      </c>
      <c r="C29" s="50"/>
      <c r="D29" s="50"/>
      <c r="E29" s="50"/>
      <c r="F29" s="50">
        <f t="shared" si="14"/>
        <v>1</v>
      </c>
      <c r="H29" s="50">
        <v>1</v>
      </c>
      <c r="I29" s="50"/>
      <c r="J29" s="50"/>
      <c r="K29" s="50"/>
      <c r="L29" s="50">
        <f t="shared" si="15"/>
        <v>1</v>
      </c>
      <c r="N29" s="50">
        <v>3</v>
      </c>
      <c r="O29" s="50"/>
      <c r="P29" s="50"/>
      <c r="Q29" s="50"/>
      <c r="R29" s="50">
        <f t="shared" si="16"/>
        <v>3</v>
      </c>
      <c r="T29" s="50">
        <v>1</v>
      </c>
      <c r="U29" s="50"/>
      <c r="V29" s="50"/>
      <c r="W29" s="50"/>
      <c r="X29" s="50">
        <f t="shared" si="17"/>
        <v>1</v>
      </c>
      <c r="Y29" s="193"/>
      <c r="Z29" s="50">
        <v>1</v>
      </c>
      <c r="AA29" s="50"/>
      <c r="AB29" s="50"/>
      <c r="AC29" s="50"/>
      <c r="AD29" s="50">
        <f t="shared" si="18"/>
        <v>1</v>
      </c>
      <c r="AE29" s="193"/>
      <c r="AF29" s="50">
        <v>1</v>
      </c>
      <c r="AG29" s="50"/>
      <c r="AH29" s="50"/>
      <c r="AI29" s="50"/>
      <c r="AJ29" s="50">
        <f t="shared" si="19"/>
        <v>1</v>
      </c>
      <c r="AL29" s="50"/>
      <c r="AM29" s="50"/>
      <c r="AN29" s="50"/>
      <c r="AO29" s="50"/>
      <c r="AP29" s="50">
        <f t="shared" si="20"/>
        <v>0</v>
      </c>
      <c r="AR29" s="50">
        <f t="shared" si="21"/>
        <v>8</v>
      </c>
      <c r="AS29" s="50">
        <f t="shared" si="13"/>
        <v>0</v>
      </c>
      <c r="AT29" s="50">
        <f t="shared" si="13"/>
        <v>0</v>
      </c>
      <c r="AU29" s="50">
        <f t="shared" si="13"/>
        <v>0</v>
      </c>
      <c r="AV29" s="50">
        <f t="shared" si="22"/>
        <v>8</v>
      </c>
    </row>
    <row r="30" spans="1:48" x14ac:dyDescent="0.25">
      <c r="A30" s="10" t="s">
        <v>26</v>
      </c>
      <c r="B30" s="50">
        <v>1</v>
      </c>
      <c r="C30" s="50"/>
      <c r="D30" s="50"/>
      <c r="E30" s="50"/>
      <c r="F30" s="50">
        <f t="shared" si="14"/>
        <v>1</v>
      </c>
      <c r="H30" s="50">
        <v>1</v>
      </c>
      <c r="I30" s="50"/>
      <c r="J30" s="50"/>
      <c r="K30" s="50"/>
      <c r="L30" s="50">
        <f t="shared" si="15"/>
        <v>1</v>
      </c>
      <c r="N30" s="50">
        <v>3</v>
      </c>
      <c r="O30" s="50"/>
      <c r="P30" s="50"/>
      <c r="Q30" s="50"/>
      <c r="R30" s="50">
        <f t="shared" si="16"/>
        <v>3</v>
      </c>
      <c r="T30" s="50">
        <v>1</v>
      </c>
      <c r="U30" s="50"/>
      <c r="V30" s="50"/>
      <c r="W30" s="50"/>
      <c r="X30" s="50">
        <f t="shared" si="17"/>
        <v>1</v>
      </c>
      <c r="Y30" s="193"/>
      <c r="Z30" s="50">
        <v>2</v>
      </c>
      <c r="AA30" s="50"/>
      <c r="AB30" s="50"/>
      <c r="AC30" s="50"/>
      <c r="AD30" s="50">
        <f t="shared" si="18"/>
        <v>2</v>
      </c>
      <c r="AE30" s="193"/>
      <c r="AF30" s="50">
        <v>1</v>
      </c>
      <c r="AG30" s="50"/>
      <c r="AH30" s="50"/>
      <c r="AI30" s="50"/>
      <c r="AJ30" s="50">
        <f t="shared" si="19"/>
        <v>1</v>
      </c>
      <c r="AL30" s="50"/>
      <c r="AM30" s="50"/>
      <c r="AN30" s="50"/>
      <c r="AO30" s="50"/>
      <c r="AP30" s="50">
        <f t="shared" si="20"/>
        <v>0</v>
      </c>
      <c r="AR30" s="50">
        <f t="shared" si="21"/>
        <v>9</v>
      </c>
      <c r="AS30" s="50">
        <f t="shared" si="13"/>
        <v>0</v>
      </c>
      <c r="AT30" s="50">
        <f t="shared" si="13"/>
        <v>0</v>
      </c>
      <c r="AU30" s="50">
        <f t="shared" si="13"/>
        <v>0</v>
      </c>
      <c r="AV30" s="50">
        <f t="shared" si="22"/>
        <v>9</v>
      </c>
    </row>
    <row r="31" spans="1:48" x14ac:dyDescent="0.25">
      <c r="A31" s="10" t="s">
        <v>27</v>
      </c>
      <c r="B31" s="50">
        <v>1</v>
      </c>
      <c r="C31" s="50"/>
      <c r="D31" s="50"/>
      <c r="E31" s="50"/>
      <c r="F31" s="50">
        <f t="shared" si="14"/>
        <v>1</v>
      </c>
      <c r="H31" s="50">
        <v>1</v>
      </c>
      <c r="I31" s="50"/>
      <c r="J31" s="50"/>
      <c r="K31" s="50"/>
      <c r="L31" s="50">
        <f t="shared" si="15"/>
        <v>1</v>
      </c>
      <c r="N31" s="50">
        <v>3</v>
      </c>
      <c r="O31" s="50"/>
      <c r="P31" s="50"/>
      <c r="Q31" s="50"/>
      <c r="R31" s="50">
        <f t="shared" si="16"/>
        <v>3</v>
      </c>
      <c r="T31" s="50">
        <v>1</v>
      </c>
      <c r="U31" s="50"/>
      <c r="V31" s="50"/>
      <c r="W31" s="50"/>
      <c r="X31" s="50">
        <f t="shared" si="17"/>
        <v>1</v>
      </c>
      <c r="Y31" s="193"/>
      <c r="Z31" s="50">
        <v>2</v>
      </c>
      <c r="AA31" s="50"/>
      <c r="AB31" s="50"/>
      <c r="AC31" s="50"/>
      <c r="AD31" s="50">
        <f t="shared" si="18"/>
        <v>2</v>
      </c>
      <c r="AE31" s="193"/>
      <c r="AF31" s="50">
        <v>2</v>
      </c>
      <c r="AG31" s="50"/>
      <c r="AH31" s="50"/>
      <c r="AI31" s="50"/>
      <c r="AJ31" s="50">
        <f t="shared" si="19"/>
        <v>2</v>
      </c>
      <c r="AL31" s="50"/>
      <c r="AM31" s="50"/>
      <c r="AN31" s="50"/>
      <c r="AO31" s="50"/>
      <c r="AP31" s="50">
        <f t="shared" si="20"/>
        <v>0</v>
      </c>
      <c r="AR31" s="50">
        <f t="shared" si="21"/>
        <v>10</v>
      </c>
      <c r="AS31" s="50">
        <f t="shared" si="13"/>
        <v>0</v>
      </c>
      <c r="AT31" s="50">
        <f t="shared" si="13"/>
        <v>0</v>
      </c>
      <c r="AU31" s="50">
        <f t="shared" si="13"/>
        <v>0</v>
      </c>
      <c r="AV31" s="50">
        <f t="shared" si="22"/>
        <v>10</v>
      </c>
    </row>
    <row r="32" spans="1:48" x14ac:dyDescent="0.25">
      <c r="A32" s="11" t="s">
        <v>28</v>
      </c>
      <c r="B32" s="50">
        <v>1</v>
      </c>
      <c r="C32" s="50"/>
      <c r="D32" s="50"/>
      <c r="E32" s="50"/>
      <c r="F32" s="50">
        <f t="shared" si="14"/>
        <v>1</v>
      </c>
      <c r="H32" s="50">
        <v>1</v>
      </c>
      <c r="I32" s="50"/>
      <c r="J32" s="50"/>
      <c r="K32" s="50"/>
      <c r="L32" s="50">
        <f t="shared" si="15"/>
        <v>1</v>
      </c>
      <c r="N32" s="50">
        <v>2</v>
      </c>
      <c r="O32" s="50"/>
      <c r="P32" s="50"/>
      <c r="Q32" s="50"/>
      <c r="R32" s="50">
        <f t="shared" si="16"/>
        <v>2</v>
      </c>
      <c r="T32" s="50">
        <v>0</v>
      </c>
      <c r="U32" s="50"/>
      <c r="V32" s="50"/>
      <c r="W32" s="50"/>
      <c r="X32" s="50">
        <f t="shared" si="17"/>
        <v>0</v>
      </c>
      <c r="Y32" s="193"/>
      <c r="Z32" s="50">
        <v>0</v>
      </c>
      <c r="AA32" s="50"/>
      <c r="AB32" s="50"/>
      <c r="AC32" s="50"/>
      <c r="AD32" s="50">
        <f t="shared" si="18"/>
        <v>0</v>
      </c>
      <c r="AE32" s="193"/>
      <c r="AF32" s="50">
        <v>0</v>
      </c>
      <c r="AG32" s="50"/>
      <c r="AH32" s="50"/>
      <c r="AI32" s="50"/>
      <c r="AJ32" s="50">
        <f t="shared" si="19"/>
        <v>0</v>
      </c>
      <c r="AL32" s="50"/>
      <c r="AM32" s="50"/>
      <c r="AN32" s="50"/>
      <c r="AO32" s="50"/>
      <c r="AP32" s="50">
        <f t="shared" si="20"/>
        <v>0</v>
      </c>
      <c r="AR32" s="50">
        <f t="shared" si="21"/>
        <v>4</v>
      </c>
      <c r="AS32" s="50">
        <f t="shared" si="13"/>
        <v>0</v>
      </c>
      <c r="AT32" s="50">
        <f t="shared" si="13"/>
        <v>0</v>
      </c>
      <c r="AU32" s="50">
        <f t="shared" si="13"/>
        <v>0</v>
      </c>
      <c r="AV32" s="50">
        <f t="shared" si="22"/>
        <v>4</v>
      </c>
    </row>
    <row r="33" spans="1:48" x14ac:dyDescent="0.25">
      <c r="A33" s="11" t="s">
        <v>29</v>
      </c>
      <c r="B33" s="50">
        <v>1</v>
      </c>
      <c r="C33" s="50"/>
      <c r="D33" s="50"/>
      <c r="E33" s="50"/>
      <c r="F33" s="50">
        <f t="shared" si="14"/>
        <v>1</v>
      </c>
      <c r="H33" s="50">
        <v>1</v>
      </c>
      <c r="I33" s="50"/>
      <c r="J33" s="50"/>
      <c r="K33" s="50"/>
      <c r="L33" s="50">
        <f t="shared" si="15"/>
        <v>1</v>
      </c>
      <c r="N33" s="50">
        <v>2</v>
      </c>
      <c r="O33" s="50"/>
      <c r="P33" s="50"/>
      <c r="Q33" s="50"/>
      <c r="R33" s="50">
        <f t="shared" si="16"/>
        <v>2</v>
      </c>
      <c r="T33" s="50">
        <v>0</v>
      </c>
      <c r="U33" s="50"/>
      <c r="V33" s="50"/>
      <c r="W33" s="50"/>
      <c r="X33" s="50">
        <f t="shared" si="17"/>
        <v>0</v>
      </c>
      <c r="Y33" s="193"/>
      <c r="Z33" s="50">
        <v>0</v>
      </c>
      <c r="AA33" s="50"/>
      <c r="AB33" s="50"/>
      <c r="AC33" s="50"/>
      <c r="AD33" s="50">
        <f t="shared" si="18"/>
        <v>0</v>
      </c>
      <c r="AE33" s="193"/>
      <c r="AF33" s="50">
        <v>0</v>
      </c>
      <c r="AG33" s="50"/>
      <c r="AH33" s="50"/>
      <c r="AI33" s="50"/>
      <c r="AJ33" s="50">
        <f t="shared" si="19"/>
        <v>0</v>
      </c>
      <c r="AL33" s="50"/>
      <c r="AM33" s="50"/>
      <c r="AN33" s="50"/>
      <c r="AO33" s="50"/>
      <c r="AP33" s="50">
        <f t="shared" si="20"/>
        <v>0</v>
      </c>
      <c r="AR33" s="50">
        <f t="shared" si="21"/>
        <v>4</v>
      </c>
      <c r="AS33" s="50">
        <f t="shared" si="13"/>
        <v>0</v>
      </c>
      <c r="AT33" s="50">
        <f t="shared" si="13"/>
        <v>0</v>
      </c>
      <c r="AU33" s="50">
        <f t="shared" si="13"/>
        <v>0</v>
      </c>
      <c r="AV33" s="50">
        <f t="shared" si="22"/>
        <v>4</v>
      </c>
    </row>
    <row r="34" spans="1:48" x14ac:dyDescent="0.25">
      <c r="A34" s="11" t="s">
        <v>30</v>
      </c>
      <c r="B34" s="50">
        <v>4</v>
      </c>
      <c r="C34" s="50"/>
      <c r="D34" s="50"/>
      <c r="E34" s="50"/>
      <c r="F34" s="50">
        <f t="shared" si="14"/>
        <v>4</v>
      </c>
      <c r="H34" s="50">
        <v>4</v>
      </c>
      <c r="I34" s="50"/>
      <c r="J34" s="50"/>
      <c r="K34" s="50"/>
      <c r="L34" s="50">
        <f t="shared" si="15"/>
        <v>4</v>
      </c>
      <c r="N34" s="51">
        <v>5</v>
      </c>
      <c r="O34" s="50"/>
      <c r="P34" s="50"/>
      <c r="Q34" s="50"/>
      <c r="R34" s="50">
        <f t="shared" si="16"/>
        <v>5</v>
      </c>
      <c r="T34" s="50">
        <v>0</v>
      </c>
      <c r="U34" s="50"/>
      <c r="V34" s="50"/>
      <c r="W34" s="50"/>
      <c r="X34" s="50">
        <f t="shared" si="17"/>
        <v>0</v>
      </c>
      <c r="Y34" s="193"/>
      <c r="Z34" s="50">
        <v>2</v>
      </c>
      <c r="AA34" s="50"/>
      <c r="AB34" s="50"/>
      <c r="AC34" s="50"/>
      <c r="AD34" s="50">
        <f t="shared" si="18"/>
        <v>2</v>
      </c>
      <c r="AE34" s="193"/>
      <c r="AF34" s="50">
        <v>2</v>
      </c>
      <c r="AG34" s="50"/>
      <c r="AH34" s="50"/>
      <c r="AI34" s="50"/>
      <c r="AJ34" s="50">
        <f t="shared" si="19"/>
        <v>2</v>
      </c>
      <c r="AL34" s="50"/>
      <c r="AM34" s="50"/>
      <c r="AN34" s="50"/>
      <c r="AO34" s="50"/>
      <c r="AP34" s="50">
        <f t="shared" si="20"/>
        <v>0</v>
      </c>
      <c r="AR34" s="50">
        <f t="shared" si="21"/>
        <v>17</v>
      </c>
      <c r="AS34" s="50">
        <f t="shared" si="13"/>
        <v>0</v>
      </c>
      <c r="AT34" s="50">
        <f t="shared" si="13"/>
        <v>0</v>
      </c>
      <c r="AU34" s="50">
        <f t="shared" si="13"/>
        <v>0</v>
      </c>
      <c r="AV34" s="50">
        <f t="shared" si="22"/>
        <v>17</v>
      </c>
    </row>
    <row r="35" spans="1:48" x14ac:dyDescent="0.25">
      <c r="A35" s="12" t="s">
        <v>31</v>
      </c>
      <c r="B35" s="50">
        <v>0</v>
      </c>
      <c r="C35" s="50"/>
      <c r="D35" s="50"/>
      <c r="E35" s="50"/>
      <c r="F35" s="50">
        <f t="shared" si="14"/>
        <v>0</v>
      </c>
      <c r="H35" s="50">
        <v>0</v>
      </c>
      <c r="I35" s="50"/>
      <c r="J35" s="50"/>
      <c r="K35" s="50"/>
      <c r="L35" s="50">
        <f t="shared" si="15"/>
        <v>0</v>
      </c>
      <c r="N35" s="50">
        <v>0</v>
      </c>
      <c r="O35" s="50"/>
      <c r="P35" s="50"/>
      <c r="Q35" s="50"/>
      <c r="R35" s="50">
        <f t="shared" si="16"/>
        <v>0</v>
      </c>
      <c r="T35" s="50">
        <v>0</v>
      </c>
      <c r="U35" s="50"/>
      <c r="V35" s="50"/>
      <c r="W35" s="50"/>
      <c r="X35" s="50">
        <f t="shared" si="17"/>
        <v>0</v>
      </c>
      <c r="Y35" s="193"/>
      <c r="Z35" s="50">
        <v>0</v>
      </c>
      <c r="AA35" s="50"/>
      <c r="AB35" s="50"/>
      <c r="AC35" s="50"/>
      <c r="AD35" s="50">
        <f t="shared" si="18"/>
        <v>0</v>
      </c>
      <c r="AE35" s="193"/>
      <c r="AF35" s="50">
        <v>0</v>
      </c>
      <c r="AG35" s="50"/>
      <c r="AH35" s="50"/>
      <c r="AI35" s="50"/>
      <c r="AJ35" s="50">
        <f t="shared" si="19"/>
        <v>0</v>
      </c>
      <c r="AL35" s="50"/>
      <c r="AM35" s="50"/>
      <c r="AN35" s="50"/>
      <c r="AO35" s="50"/>
      <c r="AP35" s="50">
        <f t="shared" si="20"/>
        <v>0</v>
      </c>
      <c r="AR35" s="50">
        <f t="shared" si="21"/>
        <v>0</v>
      </c>
      <c r="AS35" s="50">
        <f t="shared" si="13"/>
        <v>0</v>
      </c>
      <c r="AT35" s="50">
        <f t="shared" si="13"/>
        <v>0</v>
      </c>
      <c r="AU35" s="50">
        <f t="shared" si="13"/>
        <v>0</v>
      </c>
      <c r="AV35" s="50">
        <f t="shared" si="22"/>
        <v>0</v>
      </c>
    </row>
    <row r="36" spans="1:48" x14ac:dyDescent="0.25">
      <c r="A36" s="9" t="s">
        <v>32</v>
      </c>
      <c r="B36" s="52">
        <f>SUM(B27:B35)</f>
        <v>45</v>
      </c>
      <c r="C36" s="52">
        <f t="shared" ref="C36:F36" si="23">SUM(C27:C35)</f>
        <v>5</v>
      </c>
      <c r="D36" s="52">
        <f t="shared" si="23"/>
        <v>0</v>
      </c>
      <c r="E36" s="52">
        <f t="shared" si="23"/>
        <v>0</v>
      </c>
      <c r="F36" s="52">
        <f t="shared" si="23"/>
        <v>50</v>
      </c>
      <c r="H36" s="52">
        <f>SUM(H27:H35)</f>
        <v>45</v>
      </c>
      <c r="I36" s="52">
        <f t="shared" ref="I36:L36" si="24">SUM(I27:I35)</f>
        <v>4</v>
      </c>
      <c r="J36" s="52">
        <f t="shared" si="24"/>
        <v>0</v>
      </c>
      <c r="K36" s="52">
        <f t="shared" si="24"/>
        <v>0</v>
      </c>
      <c r="L36" s="52">
        <f t="shared" si="24"/>
        <v>49</v>
      </c>
      <c r="N36" s="52">
        <f>SUM(N27:N35)</f>
        <v>102</v>
      </c>
      <c r="O36" s="52">
        <f t="shared" ref="O36:R36" si="25">SUM(O27:O35)</f>
        <v>14</v>
      </c>
      <c r="P36" s="52">
        <f t="shared" si="25"/>
        <v>0</v>
      </c>
      <c r="Q36" s="52">
        <f t="shared" si="25"/>
        <v>0</v>
      </c>
      <c r="R36" s="52">
        <f t="shared" si="25"/>
        <v>116</v>
      </c>
      <c r="T36" s="52">
        <f t="shared" ref="T36:X36" si="26">SUM(T27:T35)</f>
        <v>23</v>
      </c>
      <c r="U36" s="52">
        <f t="shared" si="26"/>
        <v>3</v>
      </c>
      <c r="V36" s="52">
        <f t="shared" si="26"/>
        <v>0</v>
      </c>
      <c r="W36" s="52">
        <f t="shared" si="26"/>
        <v>0</v>
      </c>
      <c r="X36" s="52">
        <f t="shared" si="26"/>
        <v>26</v>
      </c>
      <c r="Y36" s="197"/>
      <c r="Z36" s="52">
        <f t="shared" ref="Z36:AD36" si="27">SUM(Z27:Z35)</f>
        <v>46</v>
      </c>
      <c r="AA36" s="52">
        <f t="shared" si="27"/>
        <v>6</v>
      </c>
      <c r="AB36" s="52">
        <f t="shared" si="27"/>
        <v>0</v>
      </c>
      <c r="AC36" s="52">
        <f t="shared" si="27"/>
        <v>0</v>
      </c>
      <c r="AD36" s="52">
        <f t="shared" si="27"/>
        <v>52</v>
      </c>
      <c r="AE36" s="197"/>
      <c r="AF36" s="52">
        <f t="shared" ref="AF36:AJ36" si="28">SUM(AF27:AF35)</f>
        <v>43</v>
      </c>
      <c r="AG36" s="52">
        <f t="shared" si="28"/>
        <v>5</v>
      </c>
      <c r="AH36" s="52">
        <f t="shared" si="28"/>
        <v>0</v>
      </c>
      <c r="AI36" s="52">
        <f t="shared" si="28"/>
        <v>0</v>
      </c>
      <c r="AJ36" s="52">
        <f t="shared" si="28"/>
        <v>48</v>
      </c>
      <c r="AL36" s="52">
        <f>SUM(AL27:AL35)</f>
        <v>0</v>
      </c>
      <c r="AM36" s="52">
        <f t="shared" ref="AM36:AP36" si="29">SUM(AM27:AM35)</f>
        <v>0</v>
      </c>
      <c r="AN36" s="52">
        <f t="shared" si="29"/>
        <v>0</v>
      </c>
      <c r="AO36" s="52">
        <f t="shared" si="29"/>
        <v>0</v>
      </c>
      <c r="AP36" s="52">
        <f t="shared" si="29"/>
        <v>0</v>
      </c>
      <c r="AR36" s="52">
        <f>SUM(AR27:AR35)</f>
        <v>304</v>
      </c>
      <c r="AS36" s="52">
        <f t="shared" ref="AS36:AV36" si="30">SUM(AS27:AS35)</f>
        <v>37</v>
      </c>
      <c r="AT36" s="52">
        <f t="shared" si="30"/>
        <v>0</v>
      </c>
      <c r="AU36" s="52">
        <f t="shared" si="30"/>
        <v>0</v>
      </c>
      <c r="AV36" s="52">
        <f t="shared" si="30"/>
        <v>341</v>
      </c>
    </row>
    <row r="37" spans="1:48" x14ac:dyDescent="0.25">
      <c r="A37" s="13"/>
      <c r="B37" s="45"/>
      <c r="C37" s="45"/>
      <c r="D37" s="45"/>
      <c r="E37" s="45"/>
      <c r="F37" s="45"/>
      <c r="H37" s="45"/>
      <c r="I37" s="45"/>
      <c r="J37" s="45"/>
      <c r="K37" s="45"/>
      <c r="L37" s="45"/>
      <c r="N37" s="45"/>
      <c r="O37" s="45"/>
      <c r="P37" s="45"/>
      <c r="Q37" s="45"/>
      <c r="R37" s="45"/>
      <c r="T37" s="45"/>
      <c r="U37" s="45"/>
      <c r="V37" s="45"/>
      <c r="W37" s="45"/>
      <c r="X37" s="45"/>
      <c r="Y37" s="196"/>
      <c r="Z37" s="45"/>
      <c r="AA37" s="45"/>
      <c r="AB37" s="45"/>
      <c r="AC37" s="45"/>
      <c r="AD37" s="45"/>
      <c r="AE37" s="196"/>
      <c r="AF37" s="45"/>
      <c r="AG37" s="45"/>
      <c r="AH37" s="45"/>
      <c r="AI37" s="45"/>
      <c r="AJ37" s="45"/>
      <c r="AL37" s="45"/>
      <c r="AM37" s="45"/>
      <c r="AN37" s="45"/>
      <c r="AO37" s="45"/>
      <c r="AP37" s="45"/>
      <c r="AR37" s="45"/>
      <c r="AS37" s="45"/>
      <c r="AT37" s="45"/>
      <c r="AU37" s="45"/>
      <c r="AV37" s="45"/>
    </row>
    <row r="38" spans="1:48" x14ac:dyDescent="0.25">
      <c r="A38" s="9" t="s">
        <v>33</v>
      </c>
      <c r="B38" s="46" t="s">
        <v>157</v>
      </c>
      <c r="C38" s="46" t="s">
        <v>158</v>
      </c>
      <c r="D38" s="46" t="s">
        <v>159</v>
      </c>
      <c r="E38" s="46" t="str">
        <f>E20</f>
        <v>Other</v>
      </c>
      <c r="F38" s="46" t="str">
        <f>F20</f>
        <v>FY30- Mtn</v>
      </c>
      <c r="H38" s="46" t="s">
        <v>157</v>
      </c>
      <c r="I38" s="46" t="s">
        <v>158</v>
      </c>
      <c r="J38" s="46" t="s">
        <v>159</v>
      </c>
      <c r="K38" s="46" t="str">
        <f>K20</f>
        <v>Other</v>
      </c>
      <c r="L38" s="46" t="str">
        <f>L20</f>
        <v>FY30- Bon</v>
      </c>
      <c r="N38" s="46" t="s">
        <v>157</v>
      </c>
      <c r="O38" s="46" t="s">
        <v>158</v>
      </c>
      <c r="P38" s="46" t="s">
        <v>159</v>
      </c>
      <c r="Q38" s="46" t="str">
        <f>Q20</f>
        <v>Other</v>
      </c>
      <c r="R38" s="46" t="str">
        <f>R20</f>
        <v>FY30- East</v>
      </c>
      <c r="T38" s="46" t="s">
        <v>157</v>
      </c>
      <c r="U38" s="46" t="s">
        <v>158</v>
      </c>
      <c r="V38" s="46" t="s">
        <v>159</v>
      </c>
      <c r="W38" s="46" t="str">
        <f>W20</f>
        <v>Other</v>
      </c>
      <c r="X38" s="46" t="str">
        <f>X20</f>
        <v>FY30- Cactus</v>
      </c>
      <c r="Y38" s="195"/>
      <c r="Z38" s="46" t="s">
        <v>157</v>
      </c>
      <c r="AA38" s="46" t="s">
        <v>158</v>
      </c>
      <c r="AB38" s="46" t="s">
        <v>159</v>
      </c>
      <c r="AC38" s="46" t="str">
        <f>AC20</f>
        <v>Other</v>
      </c>
      <c r="AD38" s="46" t="str">
        <f>AD20</f>
        <v>FY30- Sahara</v>
      </c>
      <c r="AE38" s="195"/>
      <c r="AF38" s="46" t="s">
        <v>157</v>
      </c>
      <c r="AG38" s="46" t="s">
        <v>158</v>
      </c>
      <c r="AH38" s="46" t="s">
        <v>159</v>
      </c>
      <c r="AI38" s="46" t="str">
        <f>AI20</f>
        <v>Other</v>
      </c>
      <c r="AJ38" s="46" t="str">
        <f>AJ20</f>
        <v>FY30- VV</v>
      </c>
      <c r="AL38" s="46" t="s">
        <v>157</v>
      </c>
      <c r="AM38" s="46" t="s">
        <v>158</v>
      </c>
      <c r="AN38" s="46" t="s">
        <v>159</v>
      </c>
      <c r="AO38" s="46" t="str">
        <f>AO20</f>
        <v>Grant</v>
      </c>
      <c r="AP38" s="46" t="str">
        <f>AP20</f>
        <v>FY30 - Central</v>
      </c>
      <c r="AR38" s="46" t="s">
        <v>157</v>
      </c>
      <c r="AS38" s="46" t="s">
        <v>158</v>
      </c>
      <c r="AT38" s="46" t="s">
        <v>159</v>
      </c>
      <c r="AU38" s="46" t="str">
        <f>AU20</f>
        <v>Other</v>
      </c>
      <c r="AV38" s="46" t="str">
        <f>AV20</f>
        <v>FY29- Sys</v>
      </c>
    </row>
    <row r="39" spans="1:48" x14ac:dyDescent="0.25">
      <c r="A39" s="11" t="s">
        <v>34</v>
      </c>
      <c r="B39" s="50">
        <v>1</v>
      </c>
      <c r="C39" s="51"/>
      <c r="D39" s="51"/>
      <c r="E39" s="51"/>
      <c r="F39" s="51">
        <f>SUM(B39:E39)</f>
        <v>1</v>
      </c>
      <c r="H39" s="50">
        <v>1</v>
      </c>
      <c r="I39" s="51"/>
      <c r="J39" s="51"/>
      <c r="K39" s="51"/>
      <c r="L39" s="51">
        <f>SUM(H39:K39)</f>
        <v>1</v>
      </c>
      <c r="N39" s="50">
        <v>1</v>
      </c>
      <c r="O39" s="51"/>
      <c r="P39" s="51"/>
      <c r="Q39" s="51"/>
      <c r="R39" s="51">
        <f>SUM(N39:Q39)</f>
        <v>1</v>
      </c>
      <c r="T39" s="50">
        <v>1</v>
      </c>
      <c r="U39" s="51"/>
      <c r="V39" s="51"/>
      <c r="W39" s="51"/>
      <c r="X39" s="51">
        <f>SUM(T39:W39)</f>
        <v>1</v>
      </c>
      <c r="Y39" s="193"/>
      <c r="Z39" s="51">
        <v>1</v>
      </c>
      <c r="AA39" s="51"/>
      <c r="AB39" s="51"/>
      <c r="AC39" s="51"/>
      <c r="AD39" s="51">
        <f>SUM(Z39:AC39)</f>
        <v>1</v>
      </c>
      <c r="AE39" s="193"/>
      <c r="AF39" s="50">
        <v>1</v>
      </c>
      <c r="AG39" s="51"/>
      <c r="AH39" s="51"/>
      <c r="AI39" s="51"/>
      <c r="AJ39" s="51">
        <f>SUM(AF39:AI39)</f>
        <v>1</v>
      </c>
      <c r="AL39" s="50"/>
      <c r="AM39" s="51"/>
      <c r="AN39" s="51"/>
      <c r="AO39" s="51"/>
      <c r="AP39" s="51">
        <f>SUM(AL39:AO39)</f>
        <v>0</v>
      </c>
      <c r="AR39" s="50">
        <f>B39+H39+N39+T39+AL39+AF39+Z39</f>
        <v>6</v>
      </c>
      <c r="AS39" s="50">
        <f t="shared" ref="AS39:AU54" si="31">C39+I39+O39+U39+AM39+AG39+AA39</f>
        <v>0</v>
      </c>
      <c r="AT39" s="50">
        <f t="shared" si="31"/>
        <v>0</v>
      </c>
      <c r="AU39" s="50">
        <f t="shared" si="31"/>
        <v>0</v>
      </c>
      <c r="AV39" s="51">
        <f>SUM(AR39:AU39)</f>
        <v>6</v>
      </c>
    </row>
    <row r="40" spans="1:48" x14ac:dyDescent="0.25">
      <c r="A40" s="11" t="s">
        <v>35</v>
      </c>
      <c r="B40" s="50">
        <v>3</v>
      </c>
      <c r="C40" s="51"/>
      <c r="D40" s="51"/>
      <c r="E40" s="51"/>
      <c r="F40" s="51">
        <f t="shared" ref="F40:F60" si="32">SUM(B40:E40)</f>
        <v>3</v>
      </c>
      <c r="H40" s="50">
        <v>4</v>
      </c>
      <c r="I40" s="51"/>
      <c r="J40" s="51"/>
      <c r="K40" s="51"/>
      <c r="L40" s="51">
        <f t="shared" ref="L40:L60" si="33">SUM(H40:K40)</f>
        <v>4</v>
      </c>
      <c r="N40" s="50">
        <v>5</v>
      </c>
      <c r="O40" s="51"/>
      <c r="P40" s="51"/>
      <c r="Q40" s="51"/>
      <c r="R40" s="51">
        <f t="shared" ref="R40:R60" si="34">SUM(N40:Q40)</f>
        <v>5</v>
      </c>
      <c r="T40" s="50">
        <v>0</v>
      </c>
      <c r="U40" s="51"/>
      <c r="V40" s="51"/>
      <c r="W40" s="51"/>
      <c r="X40" s="51">
        <f t="shared" ref="X40:X60" si="35">SUM(T40:W40)</f>
        <v>0</v>
      </c>
      <c r="Y40" s="193"/>
      <c r="Z40" s="51">
        <v>2</v>
      </c>
      <c r="AA40" s="51"/>
      <c r="AB40" s="51"/>
      <c r="AC40" s="51"/>
      <c r="AD40" s="51">
        <f t="shared" ref="AD40:AD60" si="36">SUM(Z40:AC40)</f>
        <v>2</v>
      </c>
      <c r="AE40" s="193"/>
      <c r="AF40" s="210">
        <v>3</v>
      </c>
      <c r="AG40" s="51"/>
      <c r="AH40" s="51"/>
      <c r="AI40" s="51"/>
      <c r="AJ40" s="51">
        <f t="shared" ref="AJ40:AJ60" si="37">SUM(AF40:AI40)</f>
        <v>3</v>
      </c>
      <c r="AL40" s="50"/>
      <c r="AM40" s="51">
        <v>1</v>
      </c>
      <c r="AN40" s="51"/>
      <c r="AO40" s="51"/>
      <c r="AP40" s="51">
        <f t="shared" ref="AP40:AP60" si="38">SUM(AL40:AO40)</f>
        <v>1</v>
      </c>
      <c r="AR40" s="50">
        <f t="shared" ref="AR40:AU60" si="39">B40+H40+N40+T40+AL40+AF40+Z40</f>
        <v>17</v>
      </c>
      <c r="AS40" s="50">
        <f t="shared" si="31"/>
        <v>1</v>
      </c>
      <c r="AT40" s="50">
        <f t="shared" si="31"/>
        <v>0</v>
      </c>
      <c r="AU40" s="50">
        <f t="shared" si="31"/>
        <v>0</v>
      </c>
      <c r="AV40" s="51">
        <f t="shared" ref="AV40:AV60" si="40">SUM(AR40:AU40)</f>
        <v>18</v>
      </c>
    </row>
    <row r="41" spans="1:48" x14ac:dyDescent="0.25">
      <c r="A41" s="14" t="s">
        <v>36</v>
      </c>
      <c r="B41" s="50">
        <v>1</v>
      </c>
      <c r="C41" s="51"/>
      <c r="D41" s="51"/>
      <c r="E41" s="51"/>
      <c r="F41" s="51">
        <f t="shared" si="32"/>
        <v>1</v>
      </c>
      <c r="H41" s="50">
        <v>1</v>
      </c>
      <c r="I41" s="51"/>
      <c r="J41" s="51"/>
      <c r="K41" s="51"/>
      <c r="L41" s="51">
        <f t="shared" si="33"/>
        <v>1</v>
      </c>
      <c r="N41" s="50">
        <v>1</v>
      </c>
      <c r="O41" s="51"/>
      <c r="P41" s="51"/>
      <c r="Q41" s="51"/>
      <c r="R41" s="51">
        <f t="shared" si="34"/>
        <v>1</v>
      </c>
      <c r="T41" s="50"/>
      <c r="U41" s="51"/>
      <c r="V41" s="51"/>
      <c r="W41" s="51"/>
      <c r="X41" s="51">
        <f t="shared" si="35"/>
        <v>0</v>
      </c>
      <c r="Y41" s="193"/>
      <c r="Z41" s="51"/>
      <c r="AA41" s="51"/>
      <c r="AB41" s="51"/>
      <c r="AC41" s="51"/>
      <c r="AD41" s="51">
        <f t="shared" si="36"/>
        <v>0</v>
      </c>
      <c r="AE41" s="193"/>
      <c r="AF41" s="50">
        <v>1</v>
      </c>
      <c r="AG41" s="51"/>
      <c r="AH41" s="51"/>
      <c r="AI41" s="51"/>
      <c r="AJ41" s="51">
        <f t="shared" si="37"/>
        <v>1</v>
      </c>
      <c r="AL41" s="50"/>
      <c r="AM41" s="51"/>
      <c r="AN41" s="51"/>
      <c r="AO41" s="51">
        <v>2</v>
      </c>
      <c r="AP41" s="51">
        <f t="shared" si="38"/>
        <v>2</v>
      </c>
      <c r="AR41" s="50">
        <f t="shared" si="39"/>
        <v>4</v>
      </c>
      <c r="AS41" s="50">
        <f t="shared" si="31"/>
        <v>0</v>
      </c>
      <c r="AT41" s="50">
        <f t="shared" si="31"/>
        <v>0</v>
      </c>
      <c r="AU41" s="50">
        <f t="shared" si="31"/>
        <v>2</v>
      </c>
      <c r="AV41" s="51">
        <f t="shared" si="40"/>
        <v>6</v>
      </c>
    </row>
    <row r="42" spans="1:48" x14ac:dyDescent="0.25">
      <c r="A42" s="11" t="s">
        <v>37</v>
      </c>
      <c r="B42" s="50"/>
      <c r="C42" s="51"/>
      <c r="D42" s="51"/>
      <c r="E42" s="51"/>
      <c r="F42" s="51">
        <f t="shared" si="32"/>
        <v>0</v>
      </c>
      <c r="H42" s="50"/>
      <c r="I42" s="51"/>
      <c r="J42" s="51"/>
      <c r="K42" s="51"/>
      <c r="L42" s="51">
        <f t="shared" si="33"/>
        <v>0</v>
      </c>
      <c r="N42" s="50"/>
      <c r="O42" s="51"/>
      <c r="P42" s="51"/>
      <c r="Q42" s="51"/>
      <c r="R42" s="51">
        <f t="shared" si="34"/>
        <v>0</v>
      </c>
      <c r="T42" s="50">
        <v>0</v>
      </c>
      <c r="U42" s="51"/>
      <c r="V42" s="51"/>
      <c r="W42" s="51"/>
      <c r="X42" s="51">
        <f t="shared" si="35"/>
        <v>0</v>
      </c>
      <c r="Y42" s="193"/>
      <c r="Z42" s="51">
        <v>0</v>
      </c>
      <c r="AA42" s="51"/>
      <c r="AB42" s="51"/>
      <c r="AC42" s="51"/>
      <c r="AD42" s="51">
        <f t="shared" si="36"/>
        <v>0</v>
      </c>
      <c r="AE42" s="193"/>
      <c r="AF42" s="50">
        <v>0</v>
      </c>
      <c r="AG42" s="51"/>
      <c r="AH42" s="51"/>
      <c r="AI42" s="51"/>
      <c r="AJ42" s="51">
        <f t="shared" si="37"/>
        <v>0</v>
      </c>
      <c r="AL42" s="50"/>
      <c r="AM42" s="51"/>
      <c r="AN42" s="51"/>
      <c r="AO42" s="51"/>
      <c r="AP42" s="51">
        <f t="shared" si="38"/>
        <v>0</v>
      </c>
      <c r="AR42" s="50">
        <f t="shared" si="39"/>
        <v>0</v>
      </c>
      <c r="AS42" s="50">
        <f t="shared" si="31"/>
        <v>0</v>
      </c>
      <c r="AT42" s="50">
        <f t="shared" si="31"/>
        <v>0</v>
      </c>
      <c r="AU42" s="50">
        <f t="shared" si="31"/>
        <v>0</v>
      </c>
      <c r="AV42" s="51">
        <f t="shared" si="40"/>
        <v>0</v>
      </c>
    </row>
    <row r="43" spans="1:48" x14ac:dyDescent="0.25">
      <c r="A43" s="11" t="s">
        <v>38</v>
      </c>
      <c r="B43" s="50">
        <v>2</v>
      </c>
      <c r="C43" s="51"/>
      <c r="D43" s="51"/>
      <c r="E43" s="51"/>
      <c r="F43" s="51">
        <f t="shared" si="32"/>
        <v>2</v>
      </c>
      <c r="H43" s="50">
        <v>1.5</v>
      </c>
      <c r="I43" s="51"/>
      <c r="J43" s="51"/>
      <c r="K43" s="51"/>
      <c r="L43" s="51">
        <f t="shared" si="33"/>
        <v>1.5</v>
      </c>
      <c r="N43" s="50">
        <v>4</v>
      </c>
      <c r="O43" s="51"/>
      <c r="P43" s="51"/>
      <c r="Q43" s="51"/>
      <c r="R43" s="51">
        <f t="shared" si="34"/>
        <v>4</v>
      </c>
      <c r="T43" s="50">
        <v>1</v>
      </c>
      <c r="U43" s="51"/>
      <c r="V43" s="51"/>
      <c r="W43" s="51"/>
      <c r="X43" s="51">
        <f t="shared" si="35"/>
        <v>1</v>
      </c>
      <c r="Y43" s="193"/>
      <c r="Z43" s="210">
        <v>2</v>
      </c>
      <c r="AA43" s="51"/>
      <c r="AB43" s="51"/>
      <c r="AC43" s="51"/>
      <c r="AD43" s="51">
        <f t="shared" si="36"/>
        <v>2</v>
      </c>
      <c r="AE43" s="193"/>
      <c r="AF43" s="210">
        <v>1</v>
      </c>
      <c r="AG43" s="51"/>
      <c r="AH43" s="51"/>
      <c r="AI43" s="51"/>
      <c r="AJ43" s="51">
        <f t="shared" si="37"/>
        <v>1</v>
      </c>
      <c r="AL43" s="50"/>
      <c r="AM43" s="51"/>
      <c r="AN43" s="51"/>
      <c r="AO43" s="51">
        <v>3</v>
      </c>
      <c r="AP43" s="51">
        <f t="shared" si="38"/>
        <v>3</v>
      </c>
      <c r="AR43" s="50">
        <f t="shared" si="39"/>
        <v>11.5</v>
      </c>
      <c r="AS43" s="50">
        <f t="shared" si="31"/>
        <v>0</v>
      </c>
      <c r="AT43" s="50">
        <f t="shared" si="31"/>
        <v>0</v>
      </c>
      <c r="AU43" s="50">
        <f t="shared" si="31"/>
        <v>3</v>
      </c>
      <c r="AV43" s="51">
        <f t="shared" si="40"/>
        <v>14.5</v>
      </c>
    </row>
    <row r="44" spans="1:48" x14ac:dyDescent="0.25">
      <c r="A44" s="11" t="s">
        <v>39</v>
      </c>
      <c r="B44" s="50">
        <v>2</v>
      </c>
      <c r="C44" s="51"/>
      <c r="D44" s="51"/>
      <c r="E44" s="51"/>
      <c r="F44" s="51">
        <f t="shared" si="32"/>
        <v>2</v>
      </c>
      <c r="H44" s="50">
        <v>2</v>
      </c>
      <c r="I44" s="51"/>
      <c r="J44" s="51"/>
      <c r="K44" s="51"/>
      <c r="L44" s="51">
        <f t="shared" si="33"/>
        <v>2</v>
      </c>
      <c r="N44" s="50">
        <v>5</v>
      </c>
      <c r="O44" s="51"/>
      <c r="P44" s="51"/>
      <c r="Q44" s="51"/>
      <c r="R44" s="51">
        <f t="shared" si="34"/>
        <v>5</v>
      </c>
      <c r="T44" s="50"/>
      <c r="U44" s="51"/>
      <c r="V44" s="51"/>
      <c r="W44" s="51"/>
      <c r="X44" s="51">
        <f t="shared" si="35"/>
        <v>0</v>
      </c>
      <c r="Y44" s="193"/>
      <c r="Z44" s="210">
        <v>2</v>
      </c>
      <c r="AA44" s="51"/>
      <c r="AB44" s="51"/>
      <c r="AC44" s="51"/>
      <c r="AD44" s="51">
        <f t="shared" si="36"/>
        <v>2</v>
      </c>
      <c r="AE44" s="193"/>
      <c r="AF44" s="210">
        <v>1</v>
      </c>
      <c r="AG44" s="51"/>
      <c r="AH44" s="51"/>
      <c r="AI44" s="51"/>
      <c r="AJ44" s="51">
        <f t="shared" si="37"/>
        <v>1</v>
      </c>
      <c r="AL44" s="50"/>
      <c r="AM44" s="51"/>
      <c r="AN44" s="51"/>
      <c r="AO44" s="51">
        <v>2</v>
      </c>
      <c r="AP44" s="51">
        <f t="shared" si="38"/>
        <v>2</v>
      </c>
      <c r="AR44" s="50">
        <f t="shared" si="39"/>
        <v>12</v>
      </c>
      <c r="AS44" s="50">
        <f t="shared" si="31"/>
        <v>0</v>
      </c>
      <c r="AT44" s="50">
        <f t="shared" si="31"/>
        <v>0</v>
      </c>
      <c r="AU44" s="50">
        <f t="shared" si="31"/>
        <v>2</v>
      </c>
      <c r="AV44" s="51">
        <f t="shared" si="40"/>
        <v>14</v>
      </c>
    </row>
    <row r="45" spans="1:48" x14ac:dyDescent="0.25">
      <c r="A45" s="11" t="s">
        <v>40</v>
      </c>
      <c r="B45" s="50">
        <v>2</v>
      </c>
      <c r="C45" s="51"/>
      <c r="D45" s="51"/>
      <c r="E45" s="51"/>
      <c r="F45" s="51">
        <f t="shared" si="32"/>
        <v>2</v>
      </c>
      <c r="H45" s="50">
        <v>1</v>
      </c>
      <c r="I45" s="51"/>
      <c r="J45" s="51"/>
      <c r="K45" s="51"/>
      <c r="L45" s="51">
        <f t="shared" si="33"/>
        <v>1</v>
      </c>
      <c r="N45" s="50"/>
      <c r="O45" s="51"/>
      <c r="P45" s="51"/>
      <c r="Q45" s="51"/>
      <c r="R45" s="51">
        <f t="shared" si="34"/>
        <v>0</v>
      </c>
      <c r="T45" s="50"/>
      <c r="U45" s="51"/>
      <c r="V45" s="51"/>
      <c r="W45" s="51"/>
      <c r="X45" s="51">
        <f t="shared" si="35"/>
        <v>0</v>
      </c>
      <c r="Y45" s="193"/>
      <c r="Z45" s="51"/>
      <c r="AA45" s="51"/>
      <c r="AB45" s="51"/>
      <c r="AC45" s="51"/>
      <c r="AD45" s="51">
        <f t="shared" si="36"/>
        <v>0</v>
      </c>
      <c r="AE45" s="193"/>
      <c r="AF45" s="210">
        <v>2</v>
      </c>
      <c r="AG45" s="51"/>
      <c r="AH45" s="51"/>
      <c r="AI45" s="51"/>
      <c r="AJ45" s="51">
        <f t="shared" si="37"/>
        <v>2</v>
      </c>
      <c r="AL45" s="50">
        <v>1</v>
      </c>
      <c r="AM45" s="51"/>
      <c r="AN45" s="51"/>
      <c r="AO45" s="51"/>
      <c r="AP45" s="51">
        <f t="shared" si="38"/>
        <v>1</v>
      </c>
      <c r="AR45" s="50">
        <f t="shared" si="39"/>
        <v>6</v>
      </c>
      <c r="AS45" s="50">
        <f t="shared" si="31"/>
        <v>0</v>
      </c>
      <c r="AT45" s="50">
        <f t="shared" si="31"/>
        <v>0</v>
      </c>
      <c r="AU45" s="50">
        <f t="shared" si="31"/>
        <v>0</v>
      </c>
      <c r="AV45" s="51">
        <f t="shared" si="40"/>
        <v>6</v>
      </c>
    </row>
    <row r="46" spans="1:48" x14ac:dyDescent="0.25">
      <c r="A46" s="11" t="s">
        <v>41</v>
      </c>
      <c r="B46" s="50">
        <v>2</v>
      </c>
      <c r="C46" s="51"/>
      <c r="D46" s="51"/>
      <c r="E46" s="51"/>
      <c r="F46" s="51">
        <f t="shared" si="32"/>
        <v>2</v>
      </c>
      <c r="H46" s="50">
        <v>2</v>
      </c>
      <c r="I46" s="51"/>
      <c r="J46" s="51"/>
      <c r="K46" s="51"/>
      <c r="L46" s="51">
        <f t="shared" si="33"/>
        <v>2</v>
      </c>
      <c r="N46" s="50">
        <v>3</v>
      </c>
      <c r="O46" s="51"/>
      <c r="P46" s="51"/>
      <c r="Q46" s="51"/>
      <c r="R46" s="51">
        <f t="shared" si="34"/>
        <v>3</v>
      </c>
      <c r="T46" s="50">
        <v>1</v>
      </c>
      <c r="U46" s="51"/>
      <c r="V46" s="51"/>
      <c r="W46" s="51"/>
      <c r="X46" s="51">
        <f t="shared" si="35"/>
        <v>1</v>
      </c>
      <c r="Y46" s="193"/>
      <c r="Z46" s="51">
        <v>1</v>
      </c>
      <c r="AA46" s="51"/>
      <c r="AB46" s="51"/>
      <c r="AC46" s="51"/>
      <c r="AD46" s="51">
        <f t="shared" si="36"/>
        <v>1</v>
      </c>
      <c r="AE46" s="193"/>
      <c r="AF46" s="50">
        <v>1</v>
      </c>
      <c r="AG46" s="51"/>
      <c r="AH46" s="51"/>
      <c r="AI46" s="51"/>
      <c r="AJ46" s="51">
        <f t="shared" si="37"/>
        <v>1</v>
      </c>
      <c r="AL46" s="50">
        <v>1</v>
      </c>
      <c r="AM46" s="51"/>
      <c r="AN46" s="51"/>
      <c r="AO46" s="51"/>
      <c r="AP46" s="51">
        <f t="shared" si="38"/>
        <v>1</v>
      </c>
      <c r="AR46" s="50">
        <f t="shared" si="39"/>
        <v>11</v>
      </c>
      <c r="AS46" s="50">
        <f t="shared" si="31"/>
        <v>0</v>
      </c>
      <c r="AT46" s="50">
        <f t="shared" si="31"/>
        <v>0</v>
      </c>
      <c r="AU46" s="50">
        <f t="shared" si="31"/>
        <v>0</v>
      </c>
      <c r="AV46" s="51">
        <f t="shared" si="40"/>
        <v>11</v>
      </c>
    </row>
    <row r="47" spans="1:48" x14ac:dyDescent="0.25">
      <c r="A47" s="11" t="s">
        <v>42</v>
      </c>
      <c r="B47" s="50">
        <v>1</v>
      </c>
      <c r="C47" s="51"/>
      <c r="D47" s="51"/>
      <c r="E47" s="51"/>
      <c r="F47" s="51">
        <f t="shared" si="32"/>
        <v>1</v>
      </c>
      <c r="H47" s="50">
        <v>1</v>
      </c>
      <c r="I47" s="51"/>
      <c r="J47" s="51"/>
      <c r="K47" s="51"/>
      <c r="L47" s="51">
        <f t="shared" si="33"/>
        <v>1</v>
      </c>
      <c r="N47" s="50">
        <v>2</v>
      </c>
      <c r="O47" s="51"/>
      <c r="P47" s="51"/>
      <c r="Q47" s="51"/>
      <c r="R47" s="51">
        <f t="shared" si="34"/>
        <v>2</v>
      </c>
      <c r="T47" s="50">
        <v>0</v>
      </c>
      <c r="U47" s="51"/>
      <c r="V47" s="51"/>
      <c r="W47" s="51"/>
      <c r="X47" s="51">
        <f t="shared" si="35"/>
        <v>0</v>
      </c>
      <c r="Y47" s="193"/>
      <c r="Z47" s="51">
        <v>1</v>
      </c>
      <c r="AA47" s="51"/>
      <c r="AB47" s="51"/>
      <c r="AC47" s="51"/>
      <c r="AD47" s="51">
        <f t="shared" si="36"/>
        <v>1</v>
      </c>
      <c r="AE47" s="193"/>
      <c r="AF47" s="50">
        <v>1</v>
      </c>
      <c r="AG47" s="51"/>
      <c r="AH47" s="51"/>
      <c r="AI47" s="51"/>
      <c r="AJ47" s="51">
        <f t="shared" si="37"/>
        <v>1</v>
      </c>
      <c r="AL47" s="50"/>
      <c r="AM47" s="51"/>
      <c r="AN47" s="51"/>
      <c r="AO47" s="51"/>
      <c r="AP47" s="51">
        <f t="shared" si="38"/>
        <v>0</v>
      </c>
      <c r="AR47" s="50">
        <f t="shared" si="39"/>
        <v>6</v>
      </c>
      <c r="AS47" s="50">
        <f t="shared" si="31"/>
        <v>0</v>
      </c>
      <c r="AT47" s="50">
        <f t="shared" si="31"/>
        <v>0</v>
      </c>
      <c r="AU47" s="50">
        <f t="shared" si="31"/>
        <v>0</v>
      </c>
      <c r="AV47" s="51">
        <f t="shared" si="40"/>
        <v>6</v>
      </c>
    </row>
    <row r="48" spans="1:48" x14ac:dyDescent="0.25">
      <c r="A48" s="11" t="s">
        <v>43</v>
      </c>
      <c r="B48" s="50">
        <v>1</v>
      </c>
      <c r="C48" s="51"/>
      <c r="D48" s="51"/>
      <c r="E48" s="51"/>
      <c r="F48" s="51">
        <f t="shared" si="32"/>
        <v>1</v>
      </c>
      <c r="H48" s="50">
        <v>1</v>
      </c>
      <c r="I48" s="51"/>
      <c r="J48" s="51"/>
      <c r="K48" s="51"/>
      <c r="L48" s="51">
        <f t="shared" si="33"/>
        <v>1</v>
      </c>
      <c r="N48" s="50">
        <v>3</v>
      </c>
      <c r="O48" s="51"/>
      <c r="P48" s="51"/>
      <c r="Q48" s="51"/>
      <c r="R48" s="51">
        <f t="shared" si="34"/>
        <v>3</v>
      </c>
      <c r="T48" s="50"/>
      <c r="U48" s="51"/>
      <c r="V48" s="51"/>
      <c r="W48" s="51"/>
      <c r="X48" s="51">
        <f t="shared" si="35"/>
        <v>0</v>
      </c>
      <c r="Y48" s="193"/>
      <c r="Z48" s="51">
        <v>1</v>
      </c>
      <c r="AA48" s="51"/>
      <c r="AB48" s="51"/>
      <c r="AC48" s="51"/>
      <c r="AD48" s="51">
        <f t="shared" si="36"/>
        <v>1</v>
      </c>
      <c r="AE48" s="193"/>
      <c r="AF48" s="50">
        <v>1</v>
      </c>
      <c r="AG48" s="51"/>
      <c r="AH48" s="51"/>
      <c r="AI48" s="51"/>
      <c r="AJ48" s="51">
        <f t="shared" si="37"/>
        <v>1</v>
      </c>
      <c r="AL48" s="50"/>
      <c r="AM48" s="51"/>
      <c r="AN48" s="51"/>
      <c r="AO48" s="51"/>
      <c r="AP48" s="51">
        <f t="shared" si="38"/>
        <v>0</v>
      </c>
      <c r="AR48" s="50">
        <f t="shared" si="39"/>
        <v>7</v>
      </c>
      <c r="AS48" s="50">
        <f t="shared" si="31"/>
        <v>0</v>
      </c>
      <c r="AT48" s="50">
        <f t="shared" si="31"/>
        <v>0</v>
      </c>
      <c r="AU48" s="50">
        <f t="shared" si="31"/>
        <v>0</v>
      </c>
      <c r="AV48" s="51">
        <f t="shared" si="40"/>
        <v>7</v>
      </c>
    </row>
    <row r="49" spans="1:48" x14ac:dyDescent="0.25">
      <c r="A49" s="11" t="s">
        <v>44</v>
      </c>
      <c r="B49" s="50">
        <v>2</v>
      </c>
      <c r="C49" s="51"/>
      <c r="D49" s="51"/>
      <c r="E49" s="51"/>
      <c r="F49" s="51">
        <f t="shared" si="32"/>
        <v>2</v>
      </c>
      <c r="H49" s="50">
        <v>2</v>
      </c>
      <c r="I49" s="51"/>
      <c r="J49" s="51"/>
      <c r="K49" s="51"/>
      <c r="L49" s="51">
        <f t="shared" si="33"/>
        <v>2</v>
      </c>
      <c r="N49" s="50">
        <v>4</v>
      </c>
      <c r="O49" s="51"/>
      <c r="P49" s="51"/>
      <c r="Q49" s="51"/>
      <c r="R49" s="51">
        <f t="shared" si="34"/>
        <v>4</v>
      </c>
      <c r="T49" s="50">
        <v>1</v>
      </c>
      <c r="U49" s="51"/>
      <c r="V49" s="51"/>
      <c r="W49" s="51"/>
      <c r="X49" s="51">
        <f t="shared" si="35"/>
        <v>1</v>
      </c>
      <c r="Y49" s="193"/>
      <c r="Z49" s="51">
        <v>1</v>
      </c>
      <c r="AA49" s="51"/>
      <c r="AB49" s="51"/>
      <c r="AC49" s="51"/>
      <c r="AD49" s="51">
        <f t="shared" si="36"/>
        <v>1</v>
      </c>
      <c r="AE49" s="193"/>
      <c r="AF49" s="50">
        <v>1</v>
      </c>
      <c r="AG49" s="51"/>
      <c r="AH49" s="51"/>
      <c r="AI49" s="51"/>
      <c r="AJ49" s="51">
        <f t="shared" si="37"/>
        <v>1</v>
      </c>
      <c r="AL49" s="50"/>
      <c r="AM49" s="51"/>
      <c r="AN49" s="51"/>
      <c r="AO49" s="51"/>
      <c r="AP49" s="51">
        <f t="shared" si="38"/>
        <v>0</v>
      </c>
      <c r="AR49" s="50">
        <f t="shared" si="39"/>
        <v>11</v>
      </c>
      <c r="AS49" s="50">
        <f t="shared" si="31"/>
        <v>0</v>
      </c>
      <c r="AT49" s="50">
        <f t="shared" si="31"/>
        <v>0</v>
      </c>
      <c r="AU49" s="50">
        <f t="shared" si="31"/>
        <v>0</v>
      </c>
      <c r="AV49" s="51">
        <f t="shared" si="40"/>
        <v>11</v>
      </c>
    </row>
    <row r="50" spans="1:48" x14ac:dyDescent="0.25">
      <c r="A50" s="11" t="s">
        <v>45</v>
      </c>
      <c r="B50" s="222">
        <v>9</v>
      </c>
      <c r="C50" s="51">
        <v>5</v>
      </c>
      <c r="D50" s="51"/>
      <c r="E50" s="51"/>
      <c r="F50" s="51">
        <f t="shared" si="32"/>
        <v>14</v>
      </c>
      <c r="H50" s="222">
        <v>9</v>
      </c>
      <c r="I50" s="51">
        <v>5.5</v>
      </c>
      <c r="J50" s="51"/>
      <c r="K50" s="51"/>
      <c r="L50" s="51">
        <f t="shared" si="33"/>
        <v>14.5</v>
      </c>
      <c r="N50" s="51">
        <v>12</v>
      </c>
      <c r="O50" s="51">
        <v>14</v>
      </c>
      <c r="P50" s="51"/>
      <c r="Q50" s="51"/>
      <c r="R50" s="51">
        <f t="shared" si="34"/>
        <v>26</v>
      </c>
      <c r="T50" s="51">
        <v>3.5</v>
      </c>
      <c r="U50" s="51">
        <v>3</v>
      </c>
      <c r="V50" s="51"/>
      <c r="W50" s="51"/>
      <c r="X50" s="51">
        <f t="shared" si="35"/>
        <v>6.5</v>
      </c>
      <c r="Y50" s="193"/>
      <c r="Z50" s="210">
        <v>3.5</v>
      </c>
      <c r="AA50" s="210">
        <v>6</v>
      </c>
      <c r="AB50" s="51">
        <v>0</v>
      </c>
      <c r="AC50" s="51"/>
      <c r="AD50" s="51">
        <f t="shared" si="36"/>
        <v>9.5</v>
      </c>
      <c r="AE50" s="193"/>
      <c r="AF50" s="51">
        <v>4</v>
      </c>
      <c r="AG50" s="210">
        <v>6</v>
      </c>
      <c r="AH50" s="51">
        <v>2</v>
      </c>
      <c r="AI50" s="51"/>
      <c r="AJ50" s="51">
        <f t="shared" si="37"/>
        <v>12</v>
      </c>
      <c r="AL50" s="51">
        <v>1</v>
      </c>
      <c r="AM50" s="51"/>
      <c r="AN50" s="51"/>
      <c r="AO50" s="51">
        <v>20</v>
      </c>
      <c r="AP50" s="51">
        <f t="shared" si="38"/>
        <v>21</v>
      </c>
      <c r="AR50" s="50">
        <f t="shared" si="39"/>
        <v>42</v>
      </c>
      <c r="AS50" s="50">
        <f t="shared" si="31"/>
        <v>39.5</v>
      </c>
      <c r="AT50" s="50">
        <f t="shared" si="31"/>
        <v>2</v>
      </c>
      <c r="AU50" s="50">
        <f t="shared" si="31"/>
        <v>20</v>
      </c>
      <c r="AV50" s="51">
        <f t="shared" si="40"/>
        <v>103.5</v>
      </c>
    </row>
    <row r="51" spans="1:48" x14ac:dyDescent="0.25">
      <c r="A51" s="11" t="s">
        <v>46</v>
      </c>
      <c r="B51" s="51">
        <v>4</v>
      </c>
      <c r="C51" s="51"/>
      <c r="D51" s="51"/>
      <c r="E51" s="51"/>
      <c r="F51" s="51">
        <f t="shared" si="32"/>
        <v>4</v>
      </c>
      <c r="H51" s="51">
        <v>3</v>
      </c>
      <c r="I51" s="51"/>
      <c r="J51" s="51"/>
      <c r="K51" s="51"/>
      <c r="L51" s="51">
        <f t="shared" si="33"/>
        <v>3</v>
      </c>
      <c r="N51" s="210">
        <v>13</v>
      </c>
      <c r="O51" s="51"/>
      <c r="P51" s="51"/>
      <c r="Q51" s="51"/>
      <c r="R51" s="51">
        <f t="shared" si="34"/>
        <v>13</v>
      </c>
      <c r="T51" s="51">
        <v>1</v>
      </c>
      <c r="U51" s="51"/>
      <c r="V51" s="51"/>
      <c r="W51" s="51"/>
      <c r="X51" s="51">
        <f t="shared" si="35"/>
        <v>1</v>
      </c>
      <c r="Y51" s="193"/>
      <c r="Z51" s="210">
        <v>5</v>
      </c>
      <c r="AA51" s="51"/>
      <c r="AB51" s="51"/>
      <c r="AC51" s="51"/>
      <c r="AD51" s="51">
        <f t="shared" si="36"/>
        <v>5</v>
      </c>
      <c r="AE51" s="193"/>
      <c r="AF51" s="210">
        <v>3</v>
      </c>
      <c r="AG51" s="51"/>
      <c r="AH51" s="51"/>
      <c r="AI51" s="51"/>
      <c r="AJ51" s="51">
        <f t="shared" si="37"/>
        <v>3</v>
      </c>
      <c r="AL51" s="51">
        <v>0</v>
      </c>
      <c r="AM51" s="51"/>
      <c r="AN51" s="51"/>
      <c r="AO51" s="51"/>
      <c r="AP51" s="51">
        <f t="shared" si="38"/>
        <v>0</v>
      </c>
      <c r="AR51" s="50">
        <f t="shared" si="39"/>
        <v>29</v>
      </c>
      <c r="AS51" s="50">
        <f t="shared" si="31"/>
        <v>0</v>
      </c>
      <c r="AT51" s="50">
        <f t="shared" si="31"/>
        <v>0</v>
      </c>
      <c r="AU51" s="50">
        <f t="shared" si="31"/>
        <v>0</v>
      </c>
      <c r="AV51" s="51">
        <f t="shared" si="40"/>
        <v>29</v>
      </c>
    </row>
    <row r="52" spans="1:48" x14ac:dyDescent="0.25">
      <c r="A52" s="11" t="s">
        <v>47</v>
      </c>
      <c r="B52" s="51"/>
      <c r="C52" s="51"/>
      <c r="D52" s="51">
        <v>3</v>
      </c>
      <c r="E52" s="51"/>
      <c r="F52" s="51">
        <f t="shared" si="32"/>
        <v>3</v>
      </c>
      <c r="H52" s="51"/>
      <c r="I52" s="51"/>
      <c r="J52" s="51">
        <v>3</v>
      </c>
      <c r="K52" s="51"/>
      <c r="L52" s="51">
        <f t="shared" si="33"/>
        <v>3</v>
      </c>
      <c r="N52" s="51"/>
      <c r="O52" s="51"/>
      <c r="P52" s="51">
        <v>9</v>
      </c>
      <c r="Q52" s="51"/>
      <c r="R52" s="51">
        <f t="shared" si="34"/>
        <v>9</v>
      </c>
      <c r="T52" s="51"/>
      <c r="U52" s="51"/>
      <c r="V52" s="51"/>
      <c r="W52" s="51"/>
      <c r="X52" s="51">
        <f t="shared" si="35"/>
        <v>0</v>
      </c>
      <c r="Y52" s="193"/>
      <c r="Z52" s="51"/>
      <c r="AA52" s="51"/>
      <c r="AB52" s="210">
        <v>2</v>
      </c>
      <c r="AC52" s="51"/>
      <c r="AD52" s="51">
        <f t="shared" si="36"/>
        <v>2</v>
      </c>
      <c r="AE52" s="193"/>
      <c r="AF52" s="51"/>
      <c r="AG52" s="51"/>
      <c r="AH52" s="51"/>
      <c r="AI52" s="51"/>
      <c r="AJ52" s="51">
        <f t="shared" si="37"/>
        <v>0</v>
      </c>
      <c r="AL52" s="51"/>
      <c r="AM52" s="51"/>
      <c r="AN52" s="51">
        <v>1</v>
      </c>
      <c r="AO52" s="51"/>
      <c r="AP52" s="51">
        <f t="shared" si="38"/>
        <v>1</v>
      </c>
      <c r="AR52" s="50">
        <f t="shared" si="39"/>
        <v>0</v>
      </c>
      <c r="AS52" s="50">
        <f t="shared" si="31"/>
        <v>0</v>
      </c>
      <c r="AT52" s="50">
        <f t="shared" si="31"/>
        <v>18</v>
      </c>
      <c r="AU52" s="50">
        <f t="shared" si="31"/>
        <v>0</v>
      </c>
      <c r="AV52" s="51">
        <f t="shared" si="40"/>
        <v>18</v>
      </c>
    </row>
    <row r="53" spans="1:48" x14ac:dyDescent="0.25">
      <c r="A53" s="11" t="s">
        <v>48</v>
      </c>
      <c r="B53" s="51"/>
      <c r="C53" s="51"/>
      <c r="D53" s="51"/>
      <c r="E53" s="51"/>
      <c r="F53" s="51">
        <f t="shared" si="32"/>
        <v>0</v>
      </c>
      <c r="H53" s="51"/>
      <c r="I53" s="51"/>
      <c r="J53" s="51"/>
      <c r="K53" s="51"/>
      <c r="L53" s="51">
        <f t="shared" si="33"/>
        <v>0</v>
      </c>
      <c r="N53" s="51"/>
      <c r="O53" s="51"/>
      <c r="P53" s="51"/>
      <c r="Q53" s="51"/>
      <c r="R53" s="51">
        <f t="shared" si="34"/>
        <v>0</v>
      </c>
      <c r="T53" s="51"/>
      <c r="U53" s="51"/>
      <c r="V53" s="51"/>
      <c r="W53" s="51"/>
      <c r="X53" s="51">
        <f t="shared" si="35"/>
        <v>0</v>
      </c>
      <c r="Y53" s="193"/>
      <c r="Z53" s="51"/>
      <c r="AA53" s="51"/>
      <c r="AB53" s="51"/>
      <c r="AC53" s="51"/>
      <c r="AD53" s="51">
        <f t="shared" si="36"/>
        <v>0</v>
      </c>
      <c r="AE53" s="193"/>
      <c r="AF53" s="51"/>
      <c r="AG53" s="51"/>
      <c r="AH53" s="51"/>
      <c r="AI53" s="51"/>
      <c r="AJ53" s="51">
        <f t="shared" si="37"/>
        <v>0</v>
      </c>
      <c r="AL53" s="51"/>
      <c r="AM53" s="51"/>
      <c r="AN53" s="51"/>
      <c r="AO53" s="51"/>
      <c r="AP53" s="51">
        <f t="shared" si="38"/>
        <v>0</v>
      </c>
      <c r="AR53" s="50">
        <f t="shared" si="39"/>
        <v>0</v>
      </c>
      <c r="AS53" s="50">
        <f t="shared" si="31"/>
        <v>0</v>
      </c>
      <c r="AT53" s="50">
        <f t="shared" si="31"/>
        <v>0</v>
      </c>
      <c r="AU53" s="50">
        <f t="shared" si="31"/>
        <v>0</v>
      </c>
      <c r="AV53" s="51">
        <f t="shared" si="40"/>
        <v>0</v>
      </c>
    </row>
    <row r="54" spans="1:48" x14ac:dyDescent="0.25">
      <c r="A54" s="14" t="s">
        <v>49</v>
      </c>
      <c r="B54" s="51">
        <v>0.5</v>
      </c>
      <c r="C54" s="51">
        <v>1</v>
      </c>
      <c r="D54" s="51"/>
      <c r="E54" s="51"/>
      <c r="F54" s="51">
        <f t="shared" si="32"/>
        <v>1.5</v>
      </c>
      <c r="H54" s="51"/>
      <c r="I54" s="51">
        <v>1</v>
      </c>
      <c r="J54" s="51"/>
      <c r="K54" s="51"/>
      <c r="L54" s="51">
        <f t="shared" si="33"/>
        <v>1</v>
      </c>
      <c r="N54" s="51"/>
      <c r="O54" s="51">
        <v>1</v>
      </c>
      <c r="P54" s="51"/>
      <c r="Q54" s="51"/>
      <c r="R54" s="51">
        <f t="shared" si="34"/>
        <v>1</v>
      </c>
      <c r="T54" s="51"/>
      <c r="U54" s="51"/>
      <c r="V54" s="51"/>
      <c r="W54" s="51"/>
      <c r="X54" s="51">
        <f t="shared" si="35"/>
        <v>0</v>
      </c>
      <c r="Y54" s="193"/>
      <c r="Z54" s="51"/>
      <c r="AA54" s="51"/>
      <c r="AB54" s="51"/>
      <c r="AC54" s="51"/>
      <c r="AD54" s="51">
        <f t="shared" si="36"/>
        <v>0</v>
      </c>
      <c r="AE54" s="193"/>
      <c r="AF54" s="51"/>
      <c r="AG54" s="51"/>
      <c r="AH54" s="51"/>
      <c r="AI54" s="51"/>
      <c r="AJ54" s="51">
        <f t="shared" si="37"/>
        <v>0</v>
      </c>
      <c r="AL54" s="51"/>
      <c r="AM54" s="51"/>
      <c r="AN54" s="51"/>
      <c r="AO54" s="51"/>
      <c r="AP54" s="51">
        <f t="shared" si="38"/>
        <v>0</v>
      </c>
      <c r="AR54" s="50">
        <f t="shared" si="39"/>
        <v>0.5</v>
      </c>
      <c r="AS54" s="50">
        <f t="shared" si="31"/>
        <v>3</v>
      </c>
      <c r="AT54" s="50">
        <f t="shared" si="31"/>
        <v>0</v>
      </c>
      <c r="AU54" s="50">
        <f t="shared" si="31"/>
        <v>0</v>
      </c>
      <c r="AV54" s="51">
        <f t="shared" si="40"/>
        <v>3.5</v>
      </c>
    </row>
    <row r="55" spans="1:48" x14ac:dyDescent="0.25">
      <c r="A55" s="14" t="s">
        <v>50</v>
      </c>
      <c r="B55" s="51"/>
      <c r="C55" s="51">
        <v>1</v>
      </c>
      <c r="D55" s="51"/>
      <c r="E55" s="51"/>
      <c r="F55" s="51">
        <f t="shared" si="32"/>
        <v>1</v>
      </c>
      <c r="H55" s="51"/>
      <c r="I55" s="51">
        <v>1</v>
      </c>
      <c r="J55" s="51"/>
      <c r="K55" s="51"/>
      <c r="L55" s="51">
        <f t="shared" si="33"/>
        <v>1</v>
      </c>
      <c r="N55" s="51"/>
      <c r="O55" s="51">
        <v>1</v>
      </c>
      <c r="P55" s="51"/>
      <c r="Q55" s="51"/>
      <c r="R55" s="51">
        <f t="shared" si="34"/>
        <v>1</v>
      </c>
      <c r="T55" s="51"/>
      <c r="U55" s="51"/>
      <c r="V55" s="51"/>
      <c r="W55" s="51"/>
      <c r="X55" s="51">
        <f t="shared" si="35"/>
        <v>0</v>
      </c>
      <c r="Y55" s="193"/>
      <c r="Z55" s="51"/>
      <c r="AA55" s="51"/>
      <c r="AB55" s="51"/>
      <c r="AC55" s="51"/>
      <c r="AD55" s="51">
        <f t="shared" si="36"/>
        <v>0</v>
      </c>
      <c r="AE55" s="193"/>
      <c r="AF55" s="51"/>
      <c r="AG55" s="51"/>
      <c r="AH55" s="51"/>
      <c r="AI55" s="51"/>
      <c r="AJ55" s="51">
        <f t="shared" si="37"/>
        <v>0</v>
      </c>
      <c r="AL55" s="51"/>
      <c r="AM55" s="51"/>
      <c r="AN55" s="51"/>
      <c r="AO55" s="51"/>
      <c r="AP55" s="51">
        <f t="shared" si="38"/>
        <v>0</v>
      </c>
      <c r="AR55" s="50">
        <f t="shared" si="39"/>
        <v>0</v>
      </c>
      <c r="AS55" s="50">
        <f t="shared" si="39"/>
        <v>3</v>
      </c>
      <c r="AT55" s="50">
        <f t="shared" si="39"/>
        <v>0</v>
      </c>
      <c r="AU55" s="50">
        <f t="shared" si="39"/>
        <v>0</v>
      </c>
      <c r="AV55" s="51">
        <f t="shared" si="40"/>
        <v>3</v>
      </c>
    </row>
    <row r="56" spans="1:48" x14ac:dyDescent="0.25">
      <c r="A56" s="14" t="s">
        <v>51</v>
      </c>
      <c r="B56" s="51"/>
      <c r="C56" s="51">
        <v>0.5</v>
      </c>
      <c r="D56" s="51"/>
      <c r="E56" s="51"/>
      <c r="F56" s="51">
        <f t="shared" si="32"/>
        <v>0.5</v>
      </c>
      <c r="H56" s="51"/>
      <c r="I56" s="51">
        <v>0.5</v>
      </c>
      <c r="J56" s="51"/>
      <c r="K56" s="51"/>
      <c r="L56" s="51">
        <f t="shared" si="33"/>
        <v>0.5</v>
      </c>
      <c r="N56" s="51"/>
      <c r="O56" s="51">
        <v>1</v>
      </c>
      <c r="P56" s="51"/>
      <c r="Q56" s="51"/>
      <c r="R56" s="51">
        <f t="shared" si="34"/>
        <v>1</v>
      </c>
      <c r="T56" s="51"/>
      <c r="U56" s="51"/>
      <c r="V56" s="51"/>
      <c r="W56" s="51"/>
      <c r="X56" s="51">
        <f t="shared" si="35"/>
        <v>0</v>
      </c>
      <c r="Y56" s="193"/>
      <c r="Z56" s="51"/>
      <c r="AA56" s="51"/>
      <c r="AB56" s="51"/>
      <c r="AC56" s="51"/>
      <c r="AD56" s="51">
        <f t="shared" si="36"/>
        <v>0</v>
      </c>
      <c r="AE56" s="193"/>
      <c r="AF56" s="51"/>
      <c r="AG56" s="51"/>
      <c r="AH56" s="51"/>
      <c r="AI56" s="51"/>
      <c r="AJ56" s="51">
        <f t="shared" si="37"/>
        <v>0</v>
      </c>
      <c r="AL56" s="51"/>
      <c r="AM56" s="51">
        <v>2</v>
      </c>
      <c r="AN56" s="51"/>
      <c r="AO56" s="51"/>
      <c r="AP56" s="51">
        <f t="shared" si="38"/>
        <v>2</v>
      </c>
      <c r="AR56" s="50">
        <f t="shared" si="39"/>
        <v>0</v>
      </c>
      <c r="AS56" s="50">
        <f t="shared" si="39"/>
        <v>4</v>
      </c>
      <c r="AT56" s="50">
        <f t="shared" si="39"/>
        <v>0</v>
      </c>
      <c r="AU56" s="50">
        <f t="shared" si="39"/>
        <v>0</v>
      </c>
      <c r="AV56" s="51">
        <f t="shared" si="40"/>
        <v>4</v>
      </c>
    </row>
    <row r="57" spans="1:48" x14ac:dyDescent="0.25">
      <c r="A57" s="14" t="s">
        <v>52</v>
      </c>
      <c r="B57" s="51"/>
      <c r="C57" s="51"/>
      <c r="D57" s="51"/>
      <c r="E57" s="51"/>
      <c r="F57" s="51">
        <f t="shared" si="32"/>
        <v>0</v>
      </c>
      <c r="H57" s="51"/>
      <c r="I57" s="51"/>
      <c r="J57" s="51"/>
      <c r="K57" s="51"/>
      <c r="L57" s="51">
        <f t="shared" si="33"/>
        <v>0</v>
      </c>
      <c r="N57" s="51"/>
      <c r="O57" s="51"/>
      <c r="P57" s="51"/>
      <c r="Q57" s="51"/>
      <c r="R57" s="51">
        <f t="shared" si="34"/>
        <v>0</v>
      </c>
      <c r="T57" s="51"/>
      <c r="U57" s="51"/>
      <c r="V57" s="51"/>
      <c r="W57" s="51"/>
      <c r="X57" s="51">
        <f t="shared" si="35"/>
        <v>0</v>
      </c>
      <c r="Y57" s="193"/>
      <c r="Z57" s="51"/>
      <c r="AA57" s="51"/>
      <c r="AB57" s="51"/>
      <c r="AC57" s="51"/>
      <c r="AD57" s="51">
        <f t="shared" si="36"/>
        <v>0</v>
      </c>
      <c r="AE57" s="193"/>
      <c r="AF57" s="51"/>
      <c r="AG57" s="51"/>
      <c r="AH57" s="51"/>
      <c r="AI57" s="51"/>
      <c r="AJ57" s="51">
        <f t="shared" si="37"/>
        <v>0</v>
      </c>
      <c r="AL57" s="51"/>
      <c r="AM57" s="51"/>
      <c r="AN57" s="51"/>
      <c r="AO57" s="51"/>
      <c r="AP57" s="51">
        <f t="shared" si="38"/>
        <v>0</v>
      </c>
      <c r="AR57" s="50">
        <f t="shared" si="39"/>
        <v>0</v>
      </c>
      <c r="AS57" s="50">
        <f t="shared" si="39"/>
        <v>0</v>
      </c>
      <c r="AT57" s="50">
        <f t="shared" si="39"/>
        <v>0</v>
      </c>
      <c r="AU57" s="50">
        <f t="shared" si="39"/>
        <v>0</v>
      </c>
      <c r="AV57" s="51">
        <f t="shared" si="40"/>
        <v>0</v>
      </c>
    </row>
    <row r="58" spans="1:48" x14ac:dyDescent="0.25">
      <c r="A58" s="14" t="s">
        <v>53</v>
      </c>
      <c r="B58" s="51"/>
      <c r="C58" s="51"/>
      <c r="D58" s="51"/>
      <c r="E58" s="51"/>
      <c r="F58" s="51">
        <f t="shared" si="32"/>
        <v>0</v>
      </c>
      <c r="H58" s="51"/>
      <c r="I58" s="51"/>
      <c r="J58" s="51"/>
      <c r="K58" s="51"/>
      <c r="L58" s="51">
        <f t="shared" si="33"/>
        <v>0</v>
      </c>
      <c r="N58" s="51">
        <v>1</v>
      </c>
      <c r="O58" s="51"/>
      <c r="P58" s="51"/>
      <c r="Q58" s="51"/>
      <c r="R58" s="51">
        <f t="shared" si="34"/>
        <v>1</v>
      </c>
      <c r="T58" s="51"/>
      <c r="U58" s="51"/>
      <c r="V58" s="51"/>
      <c r="W58" s="51"/>
      <c r="X58" s="51">
        <f t="shared" si="35"/>
        <v>0</v>
      </c>
      <c r="Y58" s="193"/>
      <c r="Z58" s="51"/>
      <c r="AA58" s="51"/>
      <c r="AB58" s="51"/>
      <c r="AC58" s="51"/>
      <c r="AD58" s="51">
        <f t="shared" si="36"/>
        <v>0</v>
      </c>
      <c r="AE58" s="193"/>
      <c r="AF58" s="51"/>
      <c r="AG58" s="51"/>
      <c r="AH58" s="51"/>
      <c r="AI58" s="51"/>
      <c r="AJ58" s="51">
        <f t="shared" si="37"/>
        <v>0</v>
      </c>
      <c r="AL58" s="51"/>
      <c r="AM58" s="51"/>
      <c r="AN58" s="51"/>
      <c r="AO58" s="51"/>
      <c r="AP58" s="51">
        <f t="shared" si="38"/>
        <v>0</v>
      </c>
      <c r="AR58" s="50">
        <f t="shared" si="39"/>
        <v>1</v>
      </c>
      <c r="AS58" s="50">
        <f t="shared" si="39"/>
        <v>0</v>
      </c>
      <c r="AT58" s="50">
        <f t="shared" si="39"/>
        <v>0</v>
      </c>
      <c r="AU58" s="50">
        <f t="shared" si="39"/>
        <v>0</v>
      </c>
      <c r="AV58" s="51">
        <f t="shared" si="40"/>
        <v>1</v>
      </c>
    </row>
    <row r="59" spans="1:48" x14ac:dyDescent="0.25">
      <c r="A59" s="14" t="s">
        <v>54</v>
      </c>
      <c r="B59" s="51">
        <v>2</v>
      </c>
      <c r="C59" s="51"/>
      <c r="D59" s="51"/>
      <c r="E59" s="51"/>
      <c r="F59" s="51">
        <f t="shared" si="32"/>
        <v>2</v>
      </c>
      <c r="H59" s="51">
        <v>1</v>
      </c>
      <c r="I59" s="51"/>
      <c r="J59" s="51"/>
      <c r="K59" s="51"/>
      <c r="L59" s="51">
        <f t="shared" si="33"/>
        <v>1</v>
      </c>
      <c r="N59" s="51">
        <v>3</v>
      </c>
      <c r="O59" s="51"/>
      <c r="P59" s="51"/>
      <c r="Q59" s="51"/>
      <c r="R59" s="51">
        <f t="shared" si="34"/>
        <v>3</v>
      </c>
      <c r="T59" s="51"/>
      <c r="U59" s="51"/>
      <c r="V59" s="51"/>
      <c r="W59" s="51"/>
      <c r="X59" s="51">
        <f t="shared" si="35"/>
        <v>0</v>
      </c>
      <c r="Y59" s="193"/>
      <c r="Z59" s="51"/>
      <c r="AA59" s="51"/>
      <c r="AB59" s="51"/>
      <c r="AC59" s="51"/>
      <c r="AD59" s="51">
        <f t="shared" si="36"/>
        <v>0</v>
      </c>
      <c r="AE59" s="193"/>
      <c r="AF59" s="51"/>
      <c r="AG59" s="51"/>
      <c r="AH59" s="51"/>
      <c r="AI59" s="51"/>
      <c r="AJ59" s="51">
        <f t="shared" si="37"/>
        <v>0</v>
      </c>
      <c r="AL59" s="51"/>
      <c r="AM59" s="51"/>
      <c r="AN59" s="51"/>
      <c r="AO59" s="51"/>
      <c r="AP59" s="51">
        <f t="shared" si="38"/>
        <v>0</v>
      </c>
      <c r="AR59" s="50">
        <f t="shared" si="39"/>
        <v>6</v>
      </c>
      <c r="AS59" s="50">
        <f t="shared" si="39"/>
        <v>0</v>
      </c>
      <c r="AT59" s="50">
        <f t="shared" si="39"/>
        <v>0</v>
      </c>
      <c r="AU59" s="50">
        <f t="shared" si="39"/>
        <v>0</v>
      </c>
      <c r="AV59" s="51">
        <f t="shared" si="40"/>
        <v>6</v>
      </c>
    </row>
    <row r="60" spans="1:48" x14ac:dyDescent="0.25">
      <c r="A60" s="11" t="s">
        <v>55</v>
      </c>
      <c r="B60" s="50">
        <v>1</v>
      </c>
      <c r="C60" s="50"/>
      <c r="D60" s="50"/>
      <c r="E60" s="50"/>
      <c r="F60" s="51">
        <f t="shared" si="32"/>
        <v>1</v>
      </c>
      <c r="H60" s="50">
        <v>1</v>
      </c>
      <c r="I60" s="50"/>
      <c r="J60" s="50"/>
      <c r="K60" s="50"/>
      <c r="L60" s="51">
        <f t="shared" si="33"/>
        <v>1</v>
      </c>
      <c r="N60" s="50">
        <v>1</v>
      </c>
      <c r="O60" s="50"/>
      <c r="P60" s="50"/>
      <c r="Q60" s="50"/>
      <c r="R60" s="51">
        <f t="shared" si="34"/>
        <v>1</v>
      </c>
      <c r="T60" s="50"/>
      <c r="U60" s="50"/>
      <c r="V60" s="50"/>
      <c r="W60" s="50"/>
      <c r="X60" s="51">
        <f t="shared" si="35"/>
        <v>0</v>
      </c>
      <c r="Y60" s="193"/>
      <c r="Z60" s="50"/>
      <c r="AA60" s="50"/>
      <c r="AB60" s="50"/>
      <c r="AC60" s="50"/>
      <c r="AD60" s="51">
        <f t="shared" si="36"/>
        <v>0</v>
      </c>
      <c r="AE60" s="193"/>
      <c r="AF60" s="50"/>
      <c r="AG60" s="50"/>
      <c r="AH60" s="50"/>
      <c r="AI60" s="50"/>
      <c r="AJ60" s="51">
        <f t="shared" si="37"/>
        <v>0</v>
      </c>
      <c r="AL60" s="50"/>
      <c r="AM60" s="50"/>
      <c r="AN60" s="50"/>
      <c r="AO60" s="50"/>
      <c r="AP60" s="51">
        <f t="shared" si="38"/>
        <v>0</v>
      </c>
      <c r="AR60" s="50">
        <f t="shared" si="39"/>
        <v>3</v>
      </c>
      <c r="AS60" s="50">
        <f t="shared" si="39"/>
        <v>0</v>
      </c>
      <c r="AT60" s="50">
        <f t="shared" si="39"/>
        <v>0</v>
      </c>
      <c r="AU60" s="50">
        <f t="shared" si="39"/>
        <v>0</v>
      </c>
      <c r="AV60" s="51">
        <f t="shared" si="40"/>
        <v>3</v>
      </c>
    </row>
    <row r="61" spans="1:48" x14ac:dyDescent="0.25">
      <c r="A61" s="9" t="s">
        <v>56</v>
      </c>
      <c r="B61" s="52">
        <f t="shared" ref="B61:F61" si="41">SUM(B39:B60)</f>
        <v>33.5</v>
      </c>
      <c r="C61" s="52">
        <f t="shared" si="41"/>
        <v>7.5</v>
      </c>
      <c r="D61" s="52">
        <f t="shared" si="41"/>
        <v>3</v>
      </c>
      <c r="E61" s="52">
        <f t="shared" si="41"/>
        <v>0</v>
      </c>
      <c r="F61" s="52">
        <f t="shared" si="41"/>
        <v>44</v>
      </c>
      <c r="H61" s="52">
        <f t="shared" ref="H61:L61" si="42">SUM(H39:H60)</f>
        <v>30.5</v>
      </c>
      <c r="I61" s="52">
        <f t="shared" si="42"/>
        <v>8</v>
      </c>
      <c r="J61" s="52">
        <f t="shared" si="42"/>
        <v>3</v>
      </c>
      <c r="K61" s="52">
        <f t="shared" si="42"/>
        <v>0</v>
      </c>
      <c r="L61" s="52">
        <f t="shared" si="42"/>
        <v>41.5</v>
      </c>
      <c r="N61" s="52">
        <f t="shared" ref="N61:R61" si="43">SUM(N39:N60)</f>
        <v>58</v>
      </c>
      <c r="O61" s="52">
        <f t="shared" si="43"/>
        <v>17</v>
      </c>
      <c r="P61" s="52">
        <f t="shared" si="43"/>
        <v>9</v>
      </c>
      <c r="Q61" s="52">
        <f t="shared" si="43"/>
        <v>0</v>
      </c>
      <c r="R61" s="52">
        <f t="shared" si="43"/>
        <v>84</v>
      </c>
      <c r="T61" s="52">
        <f t="shared" ref="T61:X61" si="44">SUM(T39:T60)</f>
        <v>8.5</v>
      </c>
      <c r="U61" s="52">
        <f t="shared" si="44"/>
        <v>3</v>
      </c>
      <c r="V61" s="52">
        <f t="shared" si="44"/>
        <v>0</v>
      </c>
      <c r="W61" s="52">
        <f t="shared" si="44"/>
        <v>0</v>
      </c>
      <c r="X61" s="52">
        <f t="shared" si="44"/>
        <v>11.5</v>
      </c>
      <c r="Y61" s="197"/>
      <c r="Z61" s="52">
        <f t="shared" ref="Z61:AD61" si="45">SUM(Z39:Z60)</f>
        <v>19.5</v>
      </c>
      <c r="AA61" s="52">
        <f t="shared" si="45"/>
        <v>6</v>
      </c>
      <c r="AB61" s="52">
        <f t="shared" si="45"/>
        <v>2</v>
      </c>
      <c r="AC61" s="52">
        <f t="shared" si="45"/>
        <v>0</v>
      </c>
      <c r="AD61" s="52">
        <f t="shared" si="45"/>
        <v>27.5</v>
      </c>
      <c r="AE61" s="197"/>
      <c r="AF61" s="52">
        <f t="shared" ref="AF61:AJ61" si="46">SUM(AF39:AF60)</f>
        <v>20</v>
      </c>
      <c r="AG61" s="52">
        <f t="shared" si="46"/>
        <v>6</v>
      </c>
      <c r="AH61" s="52">
        <f t="shared" si="46"/>
        <v>2</v>
      </c>
      <c r="AI61" s="52">
        <f t="shared" si="46"/>
        <v>0</v>
      </c>
      <c r="AJ61" s="52">
        <f t="shared" si="46"/>
        <v>28</v>
      </c>
      <c r="AL61" s="52">
        <f t="shared" ref="AL61:AP61" si="47">SUM(AL39:AL60)</f>
        <v>3</v>
      </c>
      <c r="AM61" s="52">
        <f t="shared" si="47"/>
        <v>3</v>
      </c>
      <c r="AN61" s="52">
        <f t="shared" si="47"/>
        <v>1</v>
      </c>
      <c r="AO61" s="52">
        <f t="shared" si="47"/>
        <v>27</v>
      </c>
      <c r="AP61" s="52">
        <f t="shared" si="47"/>
        <v>34</v>
      </c>
      <c r="AR61" s="52">
        <f t="shared" ref="AR61:AV61" si="48">SUM(AR39:AR60)</f>
        <v>173</v>
      </c>
      <c r="AS61" s="52">
        <f t="shared" si="48"/>
        <v>50.5</v>
      </c>
      <c r="AT61" s="52">
        <f t="shared" si="48"/>
        <v>20</v>
      </c>
      <c r="AU61" s="52">
        <f t="shared" si="48"/>
        <v>27</v>
      </c>
      <c r="AV61" s="52">
        <f t="shared" si="48"/>
        <v>270.5</v>
      </c>
    </row>
    <row r="62" spans="1:48" ht="16.5" thickBot="1" x14ac:dyDescent="0.3">
      <c r="A62" s="15"/>
      <c r="B62" s="53"/>
      <c r="C62" s="53"/>
      <c r="D62" s="53"/>
      <c r="E62" s="53"/>
      <c r="F62" s="53"/>
      <c r="H62" s="53"/>
      <c r="I62" s="53"/>
      <c r="J62" s="53"/>
      <c r="K62" s="53"/>
      <c r="L62" s="53"/>
      <c r="N62" s="53"/>
      <c r="O62" s="53"/>
      <c r="P62" s="53"/>
      <c r="Q62" s="53"/>
      <c r="R62" s="53"/>
      <c r="T62" s="53"/>
      <c r="U62" s="53"/>
      <c r="V62" s="53"/>
      <c r="W62" s="53"/>
      <c r="X62" s="53"/>
      <c r="Y62" s="196"/>
      <c r="Z62" s="53"/>
      <c r="AA62" s="53"/>
      <c r="AB62" s="53"/>
      <c r="AC62" s="53"/>
      <c r="AD62" s="53"/>
      <c r="AE62" s="196"/>
      <c r="AF62" s="53"/>
      <c r="AG62" s="53"/>
      <c r="AH62" s="53"/>
      <c r="AI62" s="53"/>
      <c r="AJ62" s="53"/>
      <c r="AL62" s="53"/>
      <c r="AM62" s="53"/>
      <c r="AN62" s="53"/>
      <c r="AO62" s="53"/>
      <c r="AP62" s="53"/>
      <c r="AR62" s="53"/>
      <c r="AS62" s="53"/>
      <c r="AT62" s="53"/>
      <c r="AU62" s="53"/>
      <c r="AV62" s="53"/>
    </row>
    <row r="63" spans="1:48" x14ac:dyDescent="0.25">
      <c r="A63" s="16" t="s">
        <v>57</v>
      </c>
      <c r="B63" s="54">
        <f>B36+B41+B43+B50</f>
        <v>57</v>
      </c>
      <c r="C63" s="54">
        <f t="shared" ref="C63:F63" si="49">C36+C41+C43+C50</f>
        <v>10</v>
      </c>
      <c r="D63" s="54">
        <f t="shared" si="49"/>
        <v>0</v>
      </c>
      <c r="E63" s="54">
        <f t="shared" si="49"/>
        <v>0</v>
      </c>
      <c r="F63" s="54">
        <f t="shared" si="49"/>
        <v>67</v>
      </c>
      <c r="H63" s="54">
        <f>H36+H41+H43+H50</f>
        <v>56.5</v>
      </c>
      <c r="I63" s="54">
        <f t="shared" ref="I63:L63" si="50">I36+I41+I43+I50</f>
        <v>9.5</v>
      </c>
      <c r="J63" s="54">
        <f t="shared" si="50"/>
        <v>0</v>
      </c>
      <c r="K63" s="54">
        <f t="shared" si="50"/>
        <v>0</v>
      </c>
      <c r="L63" s="54">
        <f t="shared" si="50"/>
        <v>66</v>
      </c>
      <c r="N63" s="54">
        <f>N36+N41+N43+N50</f>
        <v>119</v>
      </c>
      <c r="O63" s="54">
        <f t="shared" ref="O63:R63" si="51">O36+O41+O43+O50</f>
        <v>28</v>
      </c>
      <c r="P63" s="54">
        <f t="shared" si="51"/>
        <v>0</v>
      </c>
      <c r="Q63" s="54">
        <f t="shared" si="51"/>
        <v>0</v>
      </c>
      <c r="R63" s="54">
        <f t="shared" si="51"/>
        <v>147</v>
      </c>
      <c r="T63" s="54">
        <f>T36+T41+T43+T50</f>
        <v>27.5</v>
      </c>
      <c r="U63" s="54">
        <f t="shared" ref="U63:X63" si="52">U36+U41+U43+U50</f>
        <v>6</v>
      </c>
      <c r="V63" s="54">
        <f t="shared" si="52"/>
        <v>0</v>
      </c>
      <c r="W63" s="54">
        <f t="shared" si="52"/>
        <v>0</v>
      </c>
      <c r="X63" s="54">
        <f t="shared" si="52"/>
        <v>33.5</v>
      </c>
      <c r="Y63" s="197"/>
      <c r="Z63" s="54">
        <f>Z36+Z41+Z43+Z50</f>
        <v>51.5</v>
      </c>
      <c r="AA63" s="54">
        <f t="shared" ref="AA63:AD63" si="53">AA36+AA41+AA43+AA50</f>
        <v>12</v>
      </c>
      <c r="AB63" s="54">
        <f t="shared" si="53"/>
        <v>0</v>
      </c>
      <c r="AC63" s="54">
        <f t="shared" si="53"/>
        <v>0</v>
      </c>
      <c r="AD63" s="54">
        <f t="shared" si="53"/>
        <v>63.5</v>
      </c>
      <c r="AE63" s="197"/>
      <c r="AF63" s="54">
        <f>AF36+AF41+AF43+AF50</f>
        <v>49</v>
      </c>
      <c r="AG63" s="54">
        <f t="shared" ref="AG63:AJ63" si="54">AG36+AG41+AG43+AG50</f>
        <v>11</v>
      </c>
      <c r="AH63" s="54">
        <f t="shared" si="54"/>
        <v>2</v>
      </c>
      <c r="AI63" s="54">
        <f t="shared" si="54"/>
        <v>0</v>
      </c>
      <c r="AJ63" s="54">
        <f t="shared" si="54"/>
        <v>62</v>
      </c>
      <c r="AL63" s="54">
        <f>AL36+AL41+AL43+AL50</f>
        <v>1</v>
      </c>
      <c r="AM63" s="54">
        <f t="shared" ref="AM63:AP63" si="55">AM36+AM41+AM43+AM50</f>
        <v>0</v>
      </c>
      <c r="AN63" s="54">
        <f t="shared" si="55"/>
        <v>0</v>
      </c>
      <c r="AO63" s="54">
        <f t="shared" si="55"/>
        <v>25</v>
      </c>
      <c r="AP63" s="54">
        <f t="shared" si="55"/>
        <v>26</v>
      </c>
      <c r="AR63" s="54">
        <f>AR36+AR41+AR43+AR50</f>
        <v>361.5</v>
      </c>
      <c r="AS63" s="54">
        <f t="shared" ref="AS63:AV63" si="56">AS36+AS41+AS43+AS50</f>
        <v>76.5</v>
      </c>
      <c r="AT63" s="54">
        <f t="shared" si="56"/>
        <v>2</v>
      </c>
      <c r="AU63" s="54">
        <f t="shared" si="56"/>
        <v>25</v>
      </c>
      <c r="AV63" s="54">
        <f t="shared" si="56"/>
        <v>465</v>
      </c>
    </row>
    <row r="64" spans="1:48" x14ac:dyDescent="0.25">
      <c r="A64" s="17" t="s">
        <v>58</v>
      </c>
      <c r="B64" s="55">
        <f>B61-B41-B43-B50</f>
        <v>21.5</v>
      </c>
      <c r="C64" s="55">
        <f>C61-C41-C43-C50</f>
        <v>2.5</v>
      </c>
      <c r="D64" s="55">
        <f t="shared" ref="D64:F64" si="57">D61-D41-D43-D50</f>
        <v>3</v>
      </c>
      <c r="E64" s="55">
        <f t="shared" si="57"/>
        <v>0</v>
      </c>
      <c r="F64" s="55">
        <f t="shared" si="57"/>
        <v>27</v>
      </c>
      <c r="H64" s="55">
        <f>H61-H41-H43-H50</f>
        <v>19</v>
      </c>
      <c r="I64" s="55">
        <f>I61-I41-I43-I50</f>
        <v>2.5</v>
      </c>
      <c r="J64" s="55">
        <f t="shared" ref="J64:L64" si="58">J61-J41-J43-J50</f>
        <v>3</v>
      </c>
      <c r="K64" s="55">
        <f t="shared" si="58"/>
        <v>0</v>
      </c>
      <c r="L64" s="55">
        <f t="shared" si="58"/>
        <v>24.5</v>
      </c>
      <c r="N64" s="55">
        <f>N61-N41-N43-N50</f>
        <v>41</v>
      </c>
      <c r="O64" s="55">
        <f>O61-O41-O43-O50</f>
        <v>3</v>
      </c>
      <c r="P64" s="55">
        <f t="shared" ref="P64:R64" si="59">P61-P41-P43-P50</f>
        <v>9</v>
      </c>
      <c r="Q64" s="55">
        <f t="shared" si="59"/>
        <v>0</v>
      </c>
      <c r="R64" s="55">
        <f t="shared" si="59"/>
        <v>53</v>
      </c>
      <c r="T64" s="55">
        <f>T61-T41-T43-T50</f>
        <v>4</v>
      </c>
      <c r="U64" s="55">
        <f>U61-U41-U43-U50</f>
        <v>0</v>
      </c>
      <c r="V64" s="55">
        <f t="shared" ref="V64:X64" si="60">V61-V41-V43-V50</f>
        <v>0</v>
      </c>
      <c r="W64" s="55">
        <f t="shared" si="60"/>
        <v>0</v>
      </c>
      <c r="X64" s="55">
        <f t="shared" si="60"/>
        <v>4</v>
      </c>
      <c r="Y64" s="197"/>
      <c r="Z64" s="55">
        <f>Z61-Z41-Z43-Z50</f>
        <v>14</v>
      </c>
      <c r="AA64" s="55">
        <f>AA61-AA41-AA43-AA50</f>
        <v>0</v>
      </c>
      <c r="AB64" s="55">
        <f t="shared" ref="AB64:AD64" si="61">AB61-AB41-AB43-AB50</f>
        <v>2</v>
      </c>
      <c r="AC64" s="55">
        <f t="shared" si="61"/>
        <v>0</v>
      </c>
      <c r="AD64" s="55">
        <f t="shared" si="61"/>
        <v>16</v>
      </c>
      <c r="AE64" s="197"/>
      <c r="AF64" s="55">
        <f>AF61-AF41-AF43-AF50</f>
        <v>14</v>
      </c>
      <c r="AG64" s="55">
        <f>AG61-AG41-AG43-AG50</f>
        <v>0</v>
      </c>
      <c r="AH64" s="55">
        <f t="shared" ref="AH64:AJ64" si="62">AH61-AH41-AH43-AH50</f>
        <v>0</v>
      </c>
      <c r="AI64" s="55">
        <f t="shared" si="62"/>
        <v>0</v>
      </c>
      <c r="AJ64" s="55">
        <f t="shared" si="62"/>
        <v>14</v>
      </c>
      <c r="AL64" s="55">
        <f>AL61-AL41-AL43-AL50</f>
        <v>2</v>
      </c>
      <c r="AM64" s="55">
        <f>AM61-AM41-AM43-AM50</f>
        <v>3</v>
      </c>
      <c r="AN64" s="55">
        <f t="shared" ref="AN64:AP64" si="63">AN61-AN41-AN43-AN50</f>
        <v>1</v>
      </c>
      <c r="AO64" s="55">
        <f t="shared" si="63"/>
        <v>2</v>
      </c>
      <c r="AP64" s="55">
        <f t="shared" si="63"/>
        <v>8</v>
      </c>
      <c r="AR64" s="55">
        <f>AR61-AR41-AR43-AR50</f>
        <v>115.5</v>
      </c>
      <c r="AS64" s="55">
        <f>AS61-AS41-AS43-AS50</f>
        <v>11</v>
      </c>
      <c r="AT64" s="55">
        <f t="shared" ref="AT64:AV64" si="64">AT61-AT41-AT43-AT50</f>
        <v>18</v>
      </c>
      <c r="AU64" s="55">
        <f t="shared" si="64"/>
        <v>2</v>
      </c>
      <c r="AV64" s="55">
        <f t="shared" si="64"/>
        <v>146.5</v>
      </c>
    </row>
    <row r="65" spans="1:48" ht="16.5" thickBot="1" x14ac:dyDescent="0.3">
      <c r="A65" s="18" t="s">
        <v>59</v>
      </c>
      <c r="B65" s="56">
        <f>SUM(B63:B64)</f>
        <v>78.5</v>
      </c>
      <c r="C65" s="56">
        <f t="shared" ref="C65:F65" si="65">SUM(C63:C64)</f>
        <v>12.5</v>
      </c>
      <c r="D65" s="56">
        <f t="shared" si="65"/>
        <v>3</v>
      </c>
      <c r="E65" s="56">
        <f t="shared" si="65"/>
        <v>0</v>
      </c>
      <c r="F65" s="56">
        <f t="shared" si="65"/>
        <v>94</v>
      </c>
      <c r="H65" s="56">
        <f>SUM(H63:H64)</f>
        <v>75.5</v>
      </c>
      <c r="I65" s="56">
        <f t="shared" ref="I65:L65" si="66">SUM(I63:I64)</f>
        <v>12</v>
      </c>
      <c r="J65" s="56">
        <f t="shared" si="66"/>
        <v>3</v>
      </c>
      <c r="K65" s="56">
        <f t="shared" si="66"/>
        <v>0</v>
      </c>
      <c r="L65" s="56">
        <f t="shared" si="66"/>
        <v>90.5</v>
      </c>
      <c r="N65" s="56">
        <f>SUM(N63:N64)</f>
        <v>160</v>
      </c>
      <c r="O65" s="56">
        <f t="shared" ref="O65:R65" si="67">SUM(O63:O64)</f>
        <v>31</v>
      </c>
      <c r="P65" s="56">
        <f t="shared" si="67"/>
        <v>9</v>
      </c>
      <c r="Q65" s="56">
        <f t="shared" si="67"/>
        <v>0</v>
      </c>
      <c r="R65" s="56">
        <f t="shared" si="67"/>
        <v>200</v>
      </c>
      <c r="T65" s="56">
        <f t="shared" ref="T65:X65" si="68">SUM(T63:T64)</f>
        <v>31.5</v>
      </c>
      <c r="U65" s="56">
        <f t="shared" si="68"/>
        <v>6</v>
      </c>
      <c r="V65" s="56">
        <f t="shared" si="68"/>
        <v>0</v>
      </c>
      <c r="W65" s="56">
        <f t="shared" si="68"/>
        <v>0</v>
      </c>
      <c r="X65" s="56">
        <f t="shared" si="68"/>
        <v>37.5</v>
      </c>
      <c r="Y65" s="197"/>
      <c r="Z65" s="56">
        <f t="shared" ref="Z65:AD65" si="69">SUM(Z63:Z64)</f>
        <v>65.5</v>
      </c>
      <c r="AA65" s="56">
        <f t="shared" si="69"/>
        <v>12</v>
      </c>
      <c r="AB65" s="56">
        <f t="shared" si="69"/>
        <v>2</v>
      </c>
      <c r="AC65" s="56">
        <f t="shared" si="69"/>
        <v>0</v>
      </c>
      <c r="AD65" s="56">
        <f t="shared" si="69"/>
        <v>79.5</v>
      </c>
      <c r="AE65" s="197"/>
      <c r="AF65" s="56">
        <f t="shared" ref="AF65:AJ65" si="70">SUM(AF63:AF64)</f>
        <v>63</v>
      </c>
      <c r="AG65" s="56">
        <f t="shared" si="70"/>
        <v>11</v>
      </c>
      <c r="AH65" s="56">
        <f t="shared" si="70"/>
        <v>2</v>
      </c>
      <c r="AI65" s="56">
        <f t="shared" si="70"/>
        <v>0</v>
      </c>
      <c r="AJ65" s="56">
        <f t="shared" si="70"/>
        <v>76</v>
      </c>
      <c r="AL65" s="56">
        <f>SUM(AL63:AL64)</f>
        <v>3</v>
      </c>
      <c r="AM65" s="56">
        <f t="shared" ref="AM65:AP65" si="71">SUM(AM63:AM64)</f>
        <v>3</v>
      </c>
      <c r="AN65" s="56">
        <f t="shared" si="71"/>
        <v>1</v>
      </c>
      <c r="AO65" s="56">
        <f t="shared" si="71"/>
        <v>27</v>
      </c>
      <c r="AP65" s="56">
        <f t="shared" si="71"/>
        <v>34</v>
      </c>
      <c r="AR65" s="56">
        <f>SUM(AR63:AR64)</f>
        <v>477</v>
      </c>
      <c r="AS65" s="56">
        <f t="shared" ref="AS65:AV65" si="72">SUM(AS63:AS64)</f>
        <v>87.5</v>
      </c>
      <c r="AT65" s="56">
        <f t="shared" si="72"/>
        <v>20</v>
      </c>
      <c r="AU65" s="56">
        <f t="shared" si="72"/>
        <v>27</v>
      </c>
      <c r="AV65" s="56">
        <f t="shared" si="72"/>
        <v>611.5</v>
      </c>
    </row>
    <row r="66" spans="1:48" ht="16.5" thickBot="1" x14ac:dyDescent="0.3">
      <c r="B66" s="57"/>
      <c r="C66" s="57"/>
      <c r="D66" s="57"/>
      <c r="E66" s="57"/>
      <c r="F66" s="57"/>
      <c r="H66" s="57"/>
      <c r="I66" s="57"/>
      <c r="J66" s="57"/>
      <c r="K66" s="57"/>
      <c r="L66" s="57"/>
      <c r="N66" s="57"/>
      <c r="O66" s="57"/>
      <c r="P66" s="57"/>
      <c r="Q66" s="57"/>
      <c r="R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L66" s="57"/>
      <c r="AM66" s="57"/>
      <c r="AN66" s="57"/>
      <c r="AO66" s="57"/>
      <c r="AP66" s="57"/>
      <c r="AR66" s="57"/>
      <c r="AS66" s="57"/>
      <c r="AT66" s="57"/>
      <c r="AU66" s="57"/>
      <c r="AV66" s="57"/>
    </row>
    <row r="67" spans="1:48" ht="16.5" thickBot="1" x14ac:dyDescent="0.3">
      <c r="A67" s="19"/>
      <c r="B67" s="58" t="s">
        <v>157</v>
      </c>
      <c r="C67" s="58" t="s">
        <v>158</v>
      </c>
      <c r="D67" s="58" t="s">
        <v>159</v>
      </c>
      <c r="E67" s="59" t="str">
        <f>E20</f>
        <v>Other</v>
      </c>
      <c r="F67" s="59" t="str">
        <f>F20</f>
        <v>FY30- Mtn</v>
      </c>
      <c r="H67" s="58" t="s">
        <v>157</v>
      </c>
      <c r="I67" s="58" t="s">
        <v>158</v>
      </c>
      <c r="J67" s="58" t="s">
        <v>159</v>
      </c>
      <c r="K67" s="59" t="str">
        <f>K20</f>
        <v>Other</v>
      </c>
      <c r="L67" s="59" t="str">
        <f>L20</f>
        <v>FY30- Bon</v>
      </c>
      <c r="N67" s="58" t="s">
        <v>157</v>
      </c>
      <c r="O67" s="58" t="s">
        <v>158</v>
      </c>
      <c r="P67" s="58" t="s">
        <v>159</v>
      </c>
      <c r="Q67" s="59" t="str">
        <f>Q20</f>
        <v>Other</v>
      </c>
      <c r="R67" s="59" t="str">
        <f>R20</f>
        <v>FY30- East</v>
      </c>
      <c r="T67" s="58" t="s">
        <v>157</v>
      </c>
      <c r="U67" s="58" t="s">
        <v>158</v>
      </c>
      <c r="V67" s="58" t="s">
        <v>159</v>
      </c>
      <c r="W67" s="59" t="str">
        <f>W20</f>
        <v>Other</v>
      </c>
      <c r="X67" s="59" t="str">
        <f>X20</f>
        <v>FY30- Cactus</v>
      </c>
      <c r="Y67" s="198"/>
      <c r="Z67" s="58" t="s">
        <v>157</v>
      </c>
      <c r="AA67" s="58" t="s">
        <v>158</v>
      </c>
      <c r="AB67" s="58" t="s">
        <v>159</v>
      </c>
      <c r="AC67" s="59" t="str">
        <f>AC20</f>
        <v>Other</v>
      </c>
      <c r="AD67" s="59" t="str">
        <f>AD20</f>
        <v>FY30- Sahara</v>
      </c>
      <c r="AE67" s="198"/>
      <c r="AF67" s="58" t="s">
        <v>157</v>
      </c>
      <c r="AG67" s="58" t="s">
        <v>158</v>
      </c>
      <c r="AH67" s="58" t="s">
        <v>159</v>
      </c>
      <c r="AI67" s="59" t="str">
        <f>AI20</f>
        <v>Other</v>
      </c>
      <c r="AJ67" s="59" t="str">
        <f>AJ20</f>
        <v>FY30- VV</v>
      </c>
      <c r="AL67" s="58" t="s">
        <v>157</v>
      </c>
      <c r="AM67" s="58" t="s">
        <v>158</v>
      </c>
      <c r="AN67" s="58" t="s">
        <v>159</v>
      </c>
      <c r="AO67" s="59" t="str">
        <f>AO20</f>
        <v>Grant</v>
      </c>
      <c r="AP67" s="59" t="str">
        <f>AP20</f>
        <v>FY30 - Central</v>
      </c>
      <c r="AR67" s="58" t="s">
        <v>157</v>
      </c>
      <c r="AS67" s="58" t="s">
        <v>158</v>
      </c>
      <c r="AT67" s="58" t="s">
        <v>159</v>
      </c>
      <c r="AU67" s="59" t="str">
        <f>AU20</f>
        <v>Other</v>
      </c>
      <c r="AV67" s="59" t="str">
        <f>AV20</f>
        <v>FY29- Sys</v>
      </c>
    </row>
    <row r="68" spans="1:48" x14ac:dyDescent="0.25">
      <c r="A68" s="20" t="s">
        <v>60</v>
      </c>
      <c r="B68" s="60">
        <f>B17*B2</f>
        <v>10254300</v>
      </c>
      <c r="C68" s="60"/>
      <c r="D68" s="60"/>
      <c r="E68" s="60"/>
      <c r="F68" s="60">
        <f>SUM(B68:E68)</f>
        <v>10254300</v>
      </c>
      <c r="H68" s="60">
        <f>H17*H2</f>
        <v>10254300</v>
      </c>
      <c r="I68" s="60"/>
      <c r="J68" s="60"/>
      <c r="K68" s="60"/>
      <c r="L68" s="60">
        <f>SUM(H68:K68)</f>
        <v>10254300</v>
      </c>
      <c r="N68" s="60">
        <f>N17*N2</f>
        <v>25137000</v>
      </c>
      <c r="O68" s="60"/>
      <c r="P68" s="60"/>
      <c r="Q68" s="60"/>
      <c r="R68" s="60">
        <f>SUM(N68:Q68)</f>
        <v>25137000</v>
      </c>
      <c r="T68" s="60">
        <f>T2*T17</f>
        <v>5376525</v>
      </c>
      <c r="U68" s="60"/>
      <c r="V68" s="60"/>
      <c r="W68" s="60"/>
      <c r="X68" s="60">
        <f>SUM(T68:W68)</f>
        <v>5376525</v>
      </c>
      <c r="Y68" s="194"/>
      <c r="Z68" s="60">
        <f>Z2*Z17</f>
        <v>11411400</v>
      </c>
      <c r="AA68" s="60"/>
      <c r="AB68" s="60"/>
      <c r="AC68" s="60"/>
      <c r="AD68" s="60">
        <f>SUM(Z68:AC68)</f>
        <v>11411400</v>
      </c>
      <c r="AE68" s="194"/>
      <c r="AF68" s="60">
        <f>AF2*AF17</f>
        <v>10403925</v>
      </c>
      <c r="AG68" s="60"/>
      <c r="AH68" s="60"/>
      <c r="AI68" s="60"/>
      <c r="AJ68" s="60">
        <f>SUM(AF68:AI68)</f>
        <v>10403925</v>
      </c>
      <c r="AL68" s="60"/>
      <c r="AM68" s="60"/>
      <c r="AN68" s="60"/>
      <c r="AO68" s="60"/>
      <c r="AP68" s="60">
        <f>SUM(AL68:AO68)</f>
        <v>0</v>
      </c>
      <c r="AR68" s="60">
        <f>B68+H68+N68+T68+AL68+AF68+Z68</f>
        <v>72837450</v>
      </c>
      <c r="AS68" s="60">
        <f t="shared" ref="AS68:AU81" si="73">C68+I68+O68+U68+AM68+AG68+AA68</f>
        <v>0</v>
      </c>
      <c r="AT68" s="60">
        <f t="shared" si="73"/>
        <v>0</v>
      </c>
      <c r="AU68" s="60">
        <f t="shared" si="73"/>
        <v>0</v>
      </c>
      <c r="AV68" s="60">
        <f>SUM(AR68:AU68)</f>
        <v>72837450</v>
      </c>
    </row>
    <row r="69" spans="1:48" x14ac:dyDescent="0.25">
      <c r="A69" s="21" t="s">
        <v>61</v>
      </c>
      <c r="B69" s="60">
        <f>(B2*0.4495)*B22</f>
        <v>1614154.5</v>
      </c>
      <c r="C69" s="61"/>
      <c r="D69" s="61"/>
      <c r="E69" s="61"/>
      <c r="F69" s="60">
        <f t="shared" ref="F69:F81" si="74">SUM(B69:E69)</f>
        <v>1614154.5</v>
      </c>
      <c r="H69" s="60">
        <f>(H2*0.4495)*H22</f>
        <v>1614154.5</v>
      </c>
      <c r="I69" s="61"/>
      <c r="J69" s="61"/>
      <c r="K69" s="61"/>
      <c r="L69" s="60">
        <f t="shared" ref="L69:L81" si="75">SUM(H69:K69)</f>
        <v>1614154.5</v>
      </c>
      <c r="N69" s="60">
        <f>(N2*0.4495)*N22</f>
        <v>3317984.25</v>
      </c>
      <c r="O69" s="61"/>
      <c r="P69" s="61"/>
      <c r="Q69" s="61"/>
      <c r="R69" s="60">
        <f t="shared" ref="R69:R81" si="76">SUM(N69:Q69)</f>
        <v>3317984.25</v>
      </c>
      <c r="T69" s="60">
        <f>(T2*0.4495)*T22</f>
        <v>358701</v>
      </c>
      <c r="U69" s="61"/>
      <c r="V69" s="61"/>
      <c r="W69" s="61"/>
      <c r="X69" s="60">
        <f t="shared" ref="X69:X81" si="77">SUM(T69:W69)</f>
        <v>358701</v>
      </c>
      <c r="Y69" s="194"/>
      <c r="Z69" s="60">
        <f>(Z2*0.4495)*Z22</f>
        <v>1367547.5625</v>
      </c>
      <c r="AA69" s="61"/>
      <c r="AB69" s="61"/>
      <c r="AC69" s="61"/>
      <c r="AD69" s="60">
        <f t="shared" ref="AD69:AD81" si="78">SUM(Z69:AC69)</f>
        <v>1367547.5625</v>
      </c>
      <c r="AE69" s="194"/>
      <c r="AF69" s="60">
        <f>(AF2*0.4495)*AF22</f>
        <v>1345128.75</v>
      </c>
      <c r="AG69" s="61"/>
      <c r="AH69" s="61"/>
      <c r="AI69" s="61"/>
      <c r="AJ69" s="60">
        <f t="shared" ref="AJ69:AJ81" si="79">SUM(AF69:AI69)</f>
        <v>1345128.75</v>
      </c>
      <c r="AL69" s="61"/>
      <c r="AM69" s="61"/>
      <c r="AN69" s="61"/>
      <c r="AO69" s="61"/>
      <c r="AP69" s="60">
        <f t="shared" ref="AP69:AP81" si="80">SUM(AL69:AO69)</f>
        <v>0</v>
      </c>
      <c r="AR69" s="60">
        <f t="shared" ref="AR69:AR81" si="81">B69+H69+N69+T69+AL69+AF69+Z69</f>
        <v>9617670.5625</v>
      </c>
      <c r="AS69" s="60">
        <f t="shared" si="73"/>
        <v>0</v>
      </c>
      <c r="AT69" s="60">
        <f t="shared" si="73"/>
        <v>0</v>
      </c>
      <c r="AU69" s="60">
        <f t="shared" si="73"/>
        <v>0</v>
      </c>
      <c r="AV69" s="60">
        <f t="shared" ref="AV69:AV81" si="82">SUM(AR69:AU69)</f>
        <v>9617670.5625</v>
      </c>
    </row>
    <row r="70" spans="1:48" x14ac:dyDescent="0.25">
      <c r="A70" s="21" t="s">
        <v>62</v>
      </c>
      <c r="B70" s="61">
        <f>B23*1130</f>
        <v>0</v>
      </c>
      <c r="C70" s="61"/>
      <c r="D70" s="61"/>
      <c r="E70" s="61"/>
      <c r="F70" s="60">
        <f t="shared" si="74"/>
        <v>0</v>
      </c>
      <c r="H70" s="61">
        <f>H23*1130</f>
        <v>0</v>
      </c>
      <c r="I70" s="61"/>
      <c r="J70" s="61"/>
      <c r="K70" s="61"/>
      <c r="L70" s="60">
        <f t="shared" si="75"/>
        <v>0</v>
      </c>
      <c r="N70" s="61">
        <f>N23*1130</f>
        <v>0</v>
      </c>
      <c r="O70" s="61"/>
      <c r="P70" s="61"/>
      <c r="Q70" s="61"/>
      <c r="R70" s="60">
        <f t="shared" si="76"/>
        <v>0</v>
      </c>
      <c r="T70" s="60">
        <f>(T2*0.1195)*T23</f>
        <v>0</v>
      </c>
      <c r="U70" s="61"/>
      <c r="V70" s="61"/>
      <c r="W70" s="61"/>
      <c r="X70" s="60">
        <f t="shared" si="77"/>
        <v>0</v>
      </c>
      <c r="Y70" s="194"/>
      <c r="Z70" s="60">
        <f>(Z2*0.1195)*Z23</f>
        <v>0</v>
      </c>
      <c r="AA70" s="61"/>
      <c r="AB70" s="61"/>
      <c r="AC70" s="61"/>
      <c r="AD70" s="60">
        <f t="shared" si="78"/>
        <v>0</v>
      </c>
      <c r="AE70" s="194"/>
      <c r="AF70" s="60">
        <f>(AF2*0.1195)*AF23</f>
        <v>0</v>
      </c>
      <c r="AG70" s="61"/>
      <c r="AH70" s="61"/>
      <c r="AI70" s="61"/>
      <c r="AJ70" s="60">
        <f t="shared" si="79"/>
        <v>0</v>
      </c>
      <c r="AL70" s="61"/>
      <c r="AM70" s="61"/>
      <c r="AN70" s="61"/>
      <c r="AO70" s="61"/>
      <c r="AP70" s="60">
        <f t="shared" si="80"/>
        <v>0</v>
      </c>
      <c r="AR70" s="60">
        <f t="shared" si="81"/>
        <v>0</v>
      </c>
      <c r="AS70" s="60">
        <f t="shared" si="73"/>
        <v>0</v>
      </c>
      <c r="AT70" s="60">
        <f t="shared" si="73"/>
        <v>0</v>
      </c>
      <c r="AU70" s="60">
        <f t="shared" si="73"/>
        <v>0</v>
      </c>
      <c r="AV70" s="60">
        <f t="shared" si="82"/>
        <v>0</v>
      </c>
    </row>
    <row r="71" spans="1:48" x14ac:dyDescent="0.25">
      <c r="A71" s="21" t="s">
        <v>63</v>
      </c>
      <c r="B71" s="61">
        <f>B24*3294</f>
        <v>0</v>
      </c>
      <c r="C71" s="61"/>
      <c r="D71" s="61"/>
      <c r="E71" s="61"/>
      <c r="F71" s="60">
        <f t="shared" si="74"/>
        <v>0</v>
      </c>
      <c r="H71" s="61">
        <f>H24*3294</f>
        <v>0</v>
      </c>
      <c r="I71" s="61"/>
      <c r="J71" s="61"/>
      <c r="K71" s="61"/>
      <c r="L71" s="60">
        <f t="shared" si="75"/>
        <v>0</v>
      </c>
      <c r="N71" s="61">
        <f>N24*3294</f>
        <v>16470</v>
      </c>
      <c r="O71" s="61"/>
      <c r="P71" s="61"/>
      <c r="Q71" s="61"/>
      <c r="R71" s="60">
        <f t="shared" si="76"/>
        <v>16470</v>
      </c>
      <c r="T71" s="60">
        <f>(T2*0.3495)*T24</f>
        <v>174313.125</v>
      </c>
      <c r="U71" s="61"/>
      <c r="V71" s="61"/>
      <c r="W71" s="61"/>
      <c r="X71" s="60">
        <f t="shared" si="77"/>
        <v>174313.125</v>
      </c>
      <c r="Y71" s="194"/>
      <c r="Z71" s="60">
        <f>(Z2*0.3495)*Z24</f>
        <v>0</v>
      </c>
      <c r="AA71" s="61"/>
      <c r="AB71" s="61"/>
      <c r="AC71" s="61"/>
      <c r="AD71" s="60">
        <f t="shared" si="78"/>
        <v>0</v>
      </c>
      <c r="AE71" s="194"/>
      <c r="AF71" s="60">
        <f>(AF2*0.3495)*AF24</f>
        <v>348626.25</v>
      </c>
      <c r="AG71" s="61"/>
      <c r="AH71" s="61"/>
      <c r="AI71" s="61"/>
      <c r="AJ71" s="60">
        <f t="shared" si="79"/>
        <v>348626.25</v>
      </c>
      <c r="AL71" s="61"/>
      <c r="AM71" s="61"/>
      <c r="AN71" s="61"/>
      <c r="AO71" s="61"/>
      <c r="AP71" s="60">
        <f t="shared" si="80"/>
        <v>0</v>
      </c>
      <c r="AR71" s="60">
        <f t="shared" si="81"/>
        <v>539409.375</v>
      </c>
      <c r="AS71" s="60">
        <f t="shared" si="73"/>
        <v>0</v>
      </c>
      <c r="AT71" s="60">
        <f t="shared" si="73"/>
        <v>0</v>
      </c>
      <c r="AU71" s="60">
        <f t="shared" si="73"/>
        <v>0</v>
      </c>
      <c r="AV71" s="60">
        <f t="shared" si="82"/>
        <v>539409.375</v>
      </c>
    </row>
    <row r="72" spans="1:48" x14ac:dyDescent="0.25">
      <c r="A72" s="21" t="s">
        <v>64</v>
      </c>
      <c r="B72" s="61">
        <v>393521</v>
      </c>
      <c r="C72" s="61"/>
      <c r="D72" s="61"/>
      <c r="E72" s="61"/>
      <c r="F72" s="60">
        <f t="shared" si="74"/>
        <v>393521</v>
      </c>
      <c r="H72" s="61">
        <v>385109</v>
      </c>
      <c r="I72" s="61"/>
      <c r="J72" s="61"/>
      <c r="K72" s="61"/>
      <c r="L72" s="60">
        <f t="shared" si="75"/>
        <v>385109</v>
      </c>
      <c r="N72" s="61">
        <v>873329</v>
      </c>
      <c r="O72" s="61"/>
      <c r="P72" s="61"/>
      <c r="Q72" s="61"/>
      <c r="R72" s="60">
        <f t="shared" si="76"/>
        <v>873329</v>
      </c>
      <c r="T72" s="61">
        <f>270*450</f>
        <v>121500</v>
      </c>
      <c r="U72" s="61"/>
      <c r="V72" s="61"/>
      <c r="W72" s="61"/>
      <c r="X72" s="60">
        <f t="shared" si="77"/>
        <v>121500</v>
      </c>
      <c r="Y72" s="194"/>
      <c r="Z72" s="61">
        <v>0</v>
      </c>
      <c r="AA72" s="61"/>
      <c r="AB72" s="61"/>
      <c r="AC72" s="61"/>
      <c r="AD72" s="60">
        <f t="shared" si="78"/>
        <v>0</v>
      </c>
      <c r="AE72" s="194"/>
      <c r="AF72" s="61">
        <v>150000</v>
      </c>
      <c r="AG72" s="61"/>
      <c r="AH72" s="61"/>
      <c r="AI72" s="61"/>
      <c r="AJ72" s="60">
        <f t="shared" si="79"/>
        <v>150000</v>
      </c>
      <c r="AL72" s="61"/>
      <c r="AM72" s="61"/>
      <c r="AN72" s="61"/>
      <c r="AO72" s="61"/>
      <c r="AP72" s="60">
        <f t="shared" si="80"/>
        <v>0</v>
      </c>
      <c r="AR72" s="60">
        <f t="shared" si="81"/>
        <v>1923459</v>
      </c>
      <c r="AS72" s="60">
        <f t="shared" si="73"/>
        <v>0</v>
      </c>
      <c r="AT72" s="60">
        <f t="shared" si="73"/>
        <v>0</v>
      </c>
      <c r="AU72" s="60">
        <f t="shared" si="73"/>
        <v>0</v>
      </c>
      <c r="AV72" s="60">
        <f t="shared" si="82"/>
        <v>1923459</v>
      </c>
    </row>
    <row r="73" spans="1:48" x14ac:dyDescent="0.25">
      <c r="A73" s="21" t="s">
        <v>65</v>
      </c>
      <c r="B73" s="61"/>
      <c r="C73" s="62">
        <v>386750</v>
      </c>
      <c r="D73" s="61"/>
      <c r="E73" s="61"/>
      <c r="F73" s="60">
        <f t="shared" si="74"/>
        <v>386750</v>
      </c>
      <c r="H73" s="61"/>
      <c r="I73" s="62">
        <v>386750</v>
      </c>
      <c r="J73" s="61"/>
      <c r="K73" s="61"/>
      <c r="L73" s="60">
        <f t="shared" si="75"/>
        <v>386750</v>
      </c>
      <c r="N73" s="61"/>
      <c r="O73" s="62">
        <v>914000</v>
      </c>
      <c r="P73" s="61"/>
      <c r="Q73" s="61"/>
      <c r="R73" s="60">
        <f t="shared" si="76"/>
        <v>914000</v>
      </c>
      <c r="T73" s="61"/>
      <c r="U73" s="61"/>
      <c r="V73" s="61"/>
      <c r="W73" s="61"/>
      <c r="X73" s="60">
        <f t="shared" si="77"/>
        <v>0</v>
      </c>
      <c r="Y73" s="194"/>
      <c r="Z73" s="61"/>
      <c r="AA73" s="61"/>
      <c r="AB73" s="61"/>
      <c r="AC73" s="61"/>
      <c r="AD73" s="60">
        <f t="shared" si="78"/>
        <v>0</v>
      </c>
      <c r="AE73" s="194"/>
      <c r="AF73" s="61"/>
      <c r="AG73" s="61"/>
      <c r="AH73" s="61"/>
      <c r="AI73" s="61"/>
      <c r="AJ73" s="60">
        <f t="shared" si="79"/>
        <v>0</v>
      </c>
      <c r="AL73" s="61"/>
      <c r="AM73" s="61"/>
      <c r="AN73" s="61"/>
      <c r="AO73" s="61"/>
      <c r="AP73" s="60">
        <f t="shared" si="80"/>
        <v>0</v>
      </c>
      <c r="AR73" s="60">
        <f t="shared" si="81"/>
        <v>0</v>
      </c>
      <c r="AS73" s="60">
        <f t="shared" si="73"/>
        <v>1687500</v>
      </c>
      <c r="AT73" s="60">
        <f t="shared" si="73"/>
        <v>0</v>
      </c>
      <c r="AU73" s="60">
        <f t="shared" si="73"/>
        <v>0</v>
      </c>
      <c r="AV73" s="60">
        <f t="shared" si="82"/>
        <v>1687500</v>
      </c>
    </row>
    <row r="74" spans="1:48" x14ac:dyDescent="0.25">
      <c r="A74" s="21" t="s">
        <v>66</v>
      </c>
      <c r="B74" s="63"/>
      <c r="C74" s="63">
        <f>4136*C21</f>
        <v>434280</v>
      </c>
      <c r="D74" s="63"/>
      <c r="E74" s="63"/>
      <c r="F74" s="60">
        <f t="shared" si="74"/>
        <v>434280</v>
      </c>
      <c r="H74" s="63"/>
      <c r="I74" s="63">
        <f>4136*I21</f>
        <v>434280</v>
      </c>
      <c r="J74" s="63"/>
      <c r="K74" s="63"/>
      <c r="L74" s="60">
        <f t="shared" si="75"/>
        <v>434280</v>
      </c>
      <c r="N74" s="63"/>
      <c r="O74" s="63">
        <f>4136*O21</f>
        <v>1116720</v>
      </c>
      <c r="P74" s="63"/>
      <c r="Q74" s="63"/>
      <c r="R74" s="60">
        <f t="shared" si="76"/>
        <v>1116720</v>
      </c>
      <c r="T74" s="61"/>
      <c r="U74" s="61">
        <f>U21*4100</f>
        <v>246000</v>
      </c>
      <c r="V74" s="61"/>
      <c r="W74" s="61"/>
      <c r="X74" s="60">
        <f t="shared" si="77"/>
        <v>246000</v>
      </c>
      <c r="Y74" s="194"/>
      <c r="Z74" s="61"/>
      <c r="AA74" s="61">
        <f>4100*AA21</f>
        <v>422300</v>
      </c>
      <c r="AB74" s="61"/>
      <c r="AC74" s="61"/>
      <c r="AD74" s="60">
        <f t="shared" si="78"/>
        <v>422300</v>
      </c>
      <c r="AE74" s="194"/>
      <c r="AF74" s="61"/>
      <c r="AG74" s="61">
        <f>3850*AG21</f>
        <v>435050</v>
      </c>
      <c r="AH74" s="61"/>
      <c r="AI74" s="61"/>
      <c r="AJ74" s="60">
        <f t="shared" si="79"/>
        <v>435050</v>
      </c>
      <c r="AL74" s="61"/>
      <c r="AM74" s="61"/>
      <c r="AN74" s="61"/>
      <c r="AO74" s="61"/>
      <c r="AP74" s="60">
        <f t="shared" si="80"/>
        <v>0</v>
      </c>
      <c r="AR74" s="60">
        <f t="shared" si="81"/>
        <v>0</v>
      </c>
      <c r="AS74" s="60">
        <f t="shared" si="73"/>
        <v>3088630</v>
      </c>
      <c r="AT74" s="60">
        <f t="shared" si="73"/>
        <v>0</v>
      </c>
      <c r="AU74" s="60">
        <f t="shared" si="73"/>
        <v>0</v>
      </c>
      <c r="AV74" s="60">
        <f t="shared" si="82"/>
        <v>3088630</v>
      </c>
    </row>
    <row r="75" spans="1:48" x14ac:dyDescent="0.25">
      <c r="A75" s="21" t="s">
        <v>67</v>
      </c>
      <c r="B75" s="63"/>
      <c r="C75" s="63">
        <v>105981</v>
      </c>
      <c r="D75" s="63"/>
      <c r="E75" s="63"/>
      <c r="F75" s="60">
        <f t="shared" si="74"/>
        <v>105981</v>
      </c>
      <c r="H75" s="63"/>
      <c r="I75" s="63">
        <v>105981</v>
      </c>
      <c r="J75" s="63"/>
      <c r="K75" s="63"/>
      <c r="L75" s="60">
        <f t="shared" si="75"/>
        <v>105981</v>
      </c>
      <c r="N75" s="63"/>
      <c r="O75" s="63">
        <v>239137</v>
      </c>
      <c r="P75" s="63"/>
      <c r="Q75" s="63"/>
      <c r="R75" s="60">
        <f t="shared" si="76"/>
        <v>239137</v>
      </c>
      <c r="T75" s="61"/>
      <c r="U75" s="63">
        <f>952*U21</f>
        <v>57120</v>
      </c>
      <c r="V75" s="61"/>
      <c r="W75" s="61"/>
      <c r="X75" s="60">
        <f t="shared" si="77"/>
        <v>57120</v>
      </c>
      <c r="Y75" s="194"/>
      <c r="Z75" s="61"/>
      <c r="AA75" s="63">
        <f>951*AA21</f>
        <v>97953</v>
      </c>
      <c r="AB75" s="61"/>
      <c r="AC75" s="61"/>
      <c r="AD75" s="60">
        <f t="shared" si="78"/>
        <v>97953</v>
      </c>
      <c r="AE75" s="194"/>
      <c r="AF75" s="61"/>
      <c r="AG75" s="63">
        <f>951*AG21</f>
        <v>107463</v>
      </c>
      <c r="AH75" s="61"/>
      <c r="AI75" s="61"/>
      <c r="AJ75" s="60">
        <f t="shared" si="79"/>
        <v>107463</v>
      </c>
      <c r="AL75" s="61"/>
      <c r="AM75" s="61"/>
      <c r="AN75" s="61"/>
      <c r="AO75" s="61"/>
      <c r="AP75" s="60">
        <f t="shared" si="80"/>
        <v>0</v>
      </c>
      <c r="AR75" s="60">
        <f t="shared" si="81"/>
        <v>0</v>
      </c>
      <c r="AS75" s="60">
        <f t="shared" si="73"/>
        <v>713635</v>
      </c>
      <c r="AT75" s="60">
        <f t="shared" si="73"/>
        <v>0</v>
      </c>
      <c r="AU75" s="60">
        <f t="shared" si="73"/>
        <v>0</v>
      </c>
      <c r="AV75" s="60">
        <f t="shared" si="82"/>
        <v>713635</v>
      </c>
    </row>
    <row r="76" spans="1:48" x14ac:dyDescent="0.25">
      <c r="A76" s="21" t="s">
        <v>68</v>
      </c>
      <c r="B76" s="61">
        <v>70000</v>
      </c>
      <c r="C76" s="63"/>
      <c r="D76" s="63"/>
      <c r="E76" s="63"/>
      <c r="F76" s="60">
        <f t="shared" si="74"/>
        <v>70000</v>
      </c>
      <c r="H76" s="61">
        <v>70000</v>
      </c>
      <c r="I76" s="63"/>
      <c r="J76" s="63"/>
      <c r="K76" s="63"/>
      <c r="L76" s="60">
        <f t="shared" si="75"/>
        <v>70000</v>
      </c>
      <c r="N76" s="61">
        <v>70000</v>
      </c>
      <c r="O76" s="63"/>
      <c r="P76" s="63"/>
      <c r="Q76" s="63"/>
      <c r="R76" s="60">
        <f t="shared" si="76"/>
        <v>70000</v>
      </c>
      <c r="T76" s="61">
        <v>35000</v>
      </c>
      <c r="U76" s="61"/>
      <c r="V76" s="61"/>
      <c r="W76" s="61"/>
      <c r="X76" s="60">
        <f t="shared" si="77"/>
        <v>35000</v>
      </c>
      <c r="Y76" s="194"/>
      <c r="Z76" s="61">
        <v>20000</v>
      </c>
      <c r="AA76" s="61"/>
      <c r="AB76" s="61"/>
      <c r="AC76" s="61"/>
      <c r="AD76" s="60">
        <f t="shared" si="78"/>
        <v>20000</v>
      </c>
      <c r="AE76" s="194"/>
      <c r="AF76" s="61">
        <v>0</v>
      </c>
      <c r="AG76" s="61"/>
      <c r="AH76" s="61"/>
      <c r="AI76" s="61"/>
      <c r="AJ76" s="60">
        <f t="shared" si="79"/>
        <v>0</v>
      </c>
      <c r="AL76" s="61"/>
      <c r="AM76" s="61"/>
      <c r="AN76" s="61"/>
      <c r="AO76" s="61"/>
      <c r="AP76" s="60">
        <f t="shared" si="80"/>
        <v>0</v>
      </c>
      <c r="AR76" s="60">
        <f t="shared" si="81"/>
        <v>265000</v>
      </c>
      <c r="AS76" s="60">
        <f t="shared" si="73"/>
        <v>0</v>
      </c>
      <c r="AT76" s="60">
        <f t="shared" si="73"/>
        <v>0</v>
      </c>
      <c r="AU76" s="60">
        <f t="shared" si="73"/>
        <v>0</v>
      </c>
      <c r="AV76" s="60">
        <f t="shared" si="82"/>
        <v>265000</v>
      </c>
    </row>
    <row r="77" spans="1:48" x14ac:dyDescent="0.25">
      <c r="A77" s="21" t="s">
        <v>69</v>
      </c>
      <c r="B77" s="63"/>
      <c r="C77" s="63"/>
      <c r="D77" s="63"/>
      <c r="E77" s="63"/>
      <c r="F77" s="60">
        <f t="shared" si="74"/>
        <v>0</v>
      </c>
      <c r="H77" s="63"/>
      <c r="I77" s="63"/>
      <c r="J77" s="63"/>
      <c r="K77" s="63"/>
      <c r="L77" s="60">
        <f t="shared" si="75"/>
        <v>0</v>
      </c>
      <c r="N77" s="63"/>
      <c r="O77" s="63"/>
      <c r="P77" s="63"/>
      <c r="Q77" s="63"/>
      <c r="R77" s="60">
        <f t="shared" si="76"/>
        <v>0</v>
      </c>
      <c r="T77" s="61"/>
      <c r="U77" s="61"/>
      <c r="V77" s="61"/>
      <c r="W77" s="61"/>
      <c r="X77" s="60">
        <f t="shared" si="77"/>
        <v>0</v>
      </c>
      <c r="Y77" s="194"/>
      <c r="Z77" s="61"/>
      <c r="AA77" s="61"/>
      <c r="AB77" s="61"/>
      <c r="AC77" s="61"/>
      <c r="AD77" s="60">
        <f t="shared" si="78"/>
        <v>0</v>
      </c>
      <c r="AE77" s="194"/>
      <c r="AF77" s="61"/>
      <c r="AG77" s="61"/>
      <c r="AH77" s="61"/>
      <c r="AI77" s="61"/>
      <c r="AJ77" s="60">
        <f t="shared" si="79"/>
        <v>0</v>
      </c>
      <c r="AL77" s="61"/>
      <c r="AM77" s="61"/>
      <c r="AN77" s="61"/>
      <c r="AO77" s="61">
        <v>1993322</v>
      </c>
      <c r="AP77" s="60">
        <f t="shared" si="80"/>
        <v>1993322</v>
      </c>
      <c r="AR77" s="60">
        <f t="shared" si="81"/>
        <v>0</v>
      </c>
      <c r="AS77" s="60">
        <f t="shared" si="73"/>
        <v>0</v>
      </c>
      <c r="AT77" s="60">
        <f t="shared" si="73"/>
        <v>0</v>
      </c>
      <c r="AU77" s="60">
        <f t="shared" si="73"/>
        <v>1993322</v>
      </c>
      <c r="AV77" s="60">
        <f t="shared" si="82"/>
        <v>1993322</v>
      </c>
    </row>
    <row r="78" spans="1:48" x14ac:dyDescent="0.25">
      <c r="A78" s="21" t="s">
        <v>70</v>
      </c>
      <c r="B78" s="63"/>
      <c r="C78" s="63"/>
      <c r="D78" s="63"/>
      <c r="E78" s="63"/>
      <c r="F78" s="60">
        <f t="shared" si="74"/>
        <v>0</v>
      </c>
      <c r="H78" s="63"/>
      <c r="I78" s="63"/>
      <c r="J78" s="63"/>
      <c r="K78" s="63"/>
      <c r="L78" s="60">
        <f t="shared" si="75"/>
        <v>0</v>
      </c>
      <c r="N78" s="63"/>
      <c r="O78" s="63"/>
      <c r="P78" s="63"/>
      <c r="Q78" s="63"/>
      <c r="R78" s="60">
        <f t="shared" si="76"/>
        <v>0</v>
      </c>
      <c r="T78" s="61"/>
      <c r="U78" s="61"/>
      <c r="V78" s="61"/>
      <c r="W78" s="61"/>
      <c r="X78" s="60">
        <f t="shared" si="77"/>
        <v>0</v>
      </c>
      <c r="Y78" s="194"/>
      <c r="Z78" s="61"/>
      <c r="AA78" s="61"/>
      <c r="AB78" s="61"/>
      <c r="AC78" s="61"/>
      <c r="AD78" s="60">
        <f t="shared" si="78"/>
        <v>0</v>
      </c>
      <c r="AE78" s="194"/>
      <c r="AF78" s="61"/>
      <c r="AG78" s="61"/>
      <c r="AH78" s="61"/>
      <c r="AI78" s="61"/>
      <c r="AJ78" s="60">
        <f t="shared" si="79"/>
        <v>0</v>
      </c>
      <c r="AL78" s="61"/>
      <c r="AM78" s="61"/>
      <c r="AN78" s="61"/>
      <c r="AO78" s="61"/>
      <c r="AP78" s="60">
        <f t="shared" si="80"/>
        <v>0</v>
      </c>
      <c r="AR78" s="60">
        <f t="shared" si="81"/>
        <v>0</v>
      </c>
      <c r="AS78" s="60">
        <f t="shared" si="73"/>
        <v>0</v>
      </c>
      <c r="AT78" s="60">
        <f t="shared" si="73"/>
        <v>0</v>
      </c>
      <c r="AU78" s="60">
        <f t="shared" si="73"/>
        <v>0</v>
      </c>
      <c r="AV78" s="60">
        <f t="shared" si="82"/>
        <v>0</v>
      </c>
    </row>
    <row r="79" spans="1:48" x14ac:dyDescent="0.25">
      <c r="A79" s="21" t="s">
        <v>71</v>
      </c>
      <c r="B79" s="63"/>
      <c r="C79" s="63"/>
      <c r="D79" s="63"/>
      <c r="E79" s="63"/>
      <c r="F79" s="60">
        <f t="shared" si="74"/>
        <v>0</v>
      </c>
      <c r="H79" s="63"/>
      <c r="I79" s="63"/>
      <c r="J79" s="63"/>
      <c r="K79" s="63"/>
      <c r="L79" s="60">
        <f t="shared" si="75"/>
        <v>0</v>
      </c>
      <c r="N79" s="63"/>
      <c r="O79" s="63"/>
      <c r="P79" s="63"/>
      <c r="Q79" s="63"/>
      <c r="R79" s="60">
        <f t="shared" si="76"/>
        <v>0</v>
      </c>
      <c r="T79" s="61"/>
      <c r="U79" s="61"/>
      <c r="V79" s="61"/>
      <c r="W79" s="61"/>
      <c r="X79" s="60">
        <f t="shared" si="77"/>
        <v>0</v>
      </c>
      <c r="Y79" s="194"/>
      <c r="Z79" s="61"/>
      <c r="AA79" s="61"/>
      <c r="AB79" s="61"/>
      <c r="AC79" s="61"/>
      <c r="AD79" s="60">
        <f t="shared" si="78"/>
        <v>0</v>
      </c>
      <c r="AE79" s="194"/>
      <c r="AF79" s="61"/>
      <c r="AG79" s="61"/>
      <c r="AH79" s="61"/>
      <c r="AI79" s="61"/>
      <c r="AJ79" s="60">
        <f t="shared" si="79"/>
        <v>0</v>
      </c>
      <c r="AL79" s="61"/>
      <c r="AM79" s="61"/>
      <c r="AN79" s="61"/>
      <c r="AO79" s="61"/>
      <c r="AP79" s="60">
        <f t="shared" si="80"/>
        <v>0</v>
      </c>
      <c r="AR79" s="60">
        <f t="shared" si="81"/>
        <v>0</v>
      </c>
      <c r="AS79" s="60">
        <f t="shared" si="73"/>
        <v>0</v>
      </c>
      <c r="AT79" s="60">
        <f t="shared" si="73"/>
        <v>0</v>
      </c>
      <c r="AU79" s="60">
        <f t="shared" si="73"/>
        <v>0</v>
      </c>
      <c r="AV79" s="60">
        <f t="shared" si="82"/>
        <v>0</v>
      </c>
    </row>
    <row r="80" spans="1:48" x14ac:dyDescent="0.25">
      <c r="A80" s="21" t="s">
        <v>72</v>
      </c>
      <c r="B80" s="63"/>
      <c r="C80" s="63"/>
      <c r="D80" s="61">
        <f>(((950*0.9923)*180)*3.04)+(((950*0.0077)*180)*0.41)</f>
        <v>516377.07899999997</v>
      </c>
      <c r="E80" s="63"/>
      <c r="F80" s="60">
        <f t="shared" si="74"/>
        <v>516377.07899999997</v>
      </c>
      <c r="H80" s="63"/>
      <c r="I80" s="63"/>
      <c r="J80" s="61">
        <f>(((875*0.9923)*180)*3.04)+(((875*0.0077)*180)*0.41)</f>
        <v>475610.46749999997</v>
      </c>
      <c r="K80" s="63"/>
      <c r="L80" s="60">
        <f t="shared" si="75"/>
        <v>475610.46749999997</v>
      </c>
      <c r="N80" s="63"/>
      <c r="O80" s="63"/>
      <c r="P80" s="61">
        <f>(((1100*0.9923)*180)*3.04)+(((1100*0.0077)*180)*0.42)</f>
        <v>597925.54800000007</v>
      </c>
      <c r="Q80" s="63"/>
      <c r="R80" s="60">
        <f t="shared" si="76"/>
        <v>597925.54800000007</v>
      </c>
      <c r="T80" s="61"/>
      <c r="U80" s="61"/>
      <c r="V80" s="61">
        <f>330*3*180</f>
        <v>178200</v>
      </c>
      <c r="W80" s="61"/>
      <c r="X80" s="60">
        <f t="shared" si="77"/>
        <v>178200</v>
      </c>
      <c r="Y80" s="194"/>
      <c r="Z80" s="61"/>
      <c r="AA80" s="61"/>
      <c r="AB80" s="61">
        <f>800*2.5*180</f>
        <v>360000</v>
      </c>
      <c r="AC80" s="61"/>
      <c r="AD80" s="60">
        <f t="shared" si="78"/>
        <v>360000</v>
      </c>
      <c r="AE80" s="194"/>
      <c r="AF80" s="61"/>
      <c r="AG80" s="61"/>
      <c r="AH80" s="61">
        <f>650*2.4*180</f>
        <v>280800</v>
      </c>
      <c r="AI80" s="61"/>
      <c r="AJ80" s="60">
        <f t="shared" si="79"/>
        <v>280800</v>
      </c>
      <c r="AL80" s="61"/>
      <c r="AM80" s="61"/>
      <c r="AN80" s="61"/>
      <c r="AO80" s="61"/>
      <c r="AP80" s="60">
        <f t="shared" si="80"/>
        <v>0</v>
      </c>
      <c r="AR80" s="60">
        <f t="shared" si="81"/>
        <v>0</v>
      </c>
      <c r="AS80" s="60">
        <f t="shared" si="73"/>
        <v>0</v>
      </c>
      <c r="AT80" s="60">
        <f t="shared" si="73"/>
        <v>2408913.0945000001</v>
      </c>
      <c r="AU80" s="60">
        <f t="shared" si="73"/>
        <v>0</v>
      </c>
      <c r="AV80" s="60">
        <f t="shared" si="82"/>
        <v>2408913.0945000001</v>
      </c>
    </row>
    <row r="81" spans="1:48" x14ac:dyDescent="0.25">
      <c r="A81" s="22" t="s">
        <v>73</v>
      </c>
      <c r="B81" s="64"/>
      <c r="C81" s="64"/>
      <c r="D81" s="61">
        <f>(((805*0.9923)*4.72)*180)+(((805*0.0077)*0.71)*180)</f>
        <v>679453.9227</v>
      </c>
      <c r="E81" s="64"/>
      <c r="F81" s="60">
        <f t="shared" si="74"/>
        <v>679453.9227</v>
      </c>
      <c r="H81" s="64"/>
      <c r="I81" s="64"/>
      <c r="J81" s="61">
        <f>(((600*0.9923)*4.72)*180)+(((600*0.0077)*0.71)*180)</f>
        <v>506425.28399999993</v>
      </c>
      <c r="K81" s="64"/>
      <c r="L81" s="60">
        <f t="shared" si="75"/>
        <v>506425.28399999993</v>
      </c>
      <c r="N81" s="64"/>
      <c r="O81" s="64"/>
      <c r="P81" s="61">
        <f>(((1100*0.9923)*4.72)*180)+(((1100*0.0077)*0.71)*180)</f>
        <v>928446.35400000005</v>
      </c>
      <c r="Q81" s="64"/>
      <c r="R81" s="60">
        <f t="shared" si="76"/>
        <v>928446.35400000005</v>
      </c>
      <c r="T81" s="91"/>
      <c r="U81" s="91"/>
      <c r="V81" s="61">
        <f>330*4.75*180</f>
        <v>282150</v>
      </c>
      <c r="W81" s="91"/>
      <c r="X81" s="60">
        <f t="shared" si="77"/>
        <v>282150</v>
      </c>
      <c r="Y81" s="194"/>
      <c r="Z81" s="91"/>
      <c r="AA81" s="91"/>
      <c r="AB81" s="61">
        <f>830*4.55*180</f>
        <v>679770</v>
      </c>
      <c r="AC81" s="91"/>
      <c r="AD81" s="60">
        <f t="shared" si="78"/>
        <v>679770</v>
      </c>
      <c r="AE81" s="194"/>
      <c r="AF81" s="91"/>
      <c r="AG81" s="91"/>
      <c r="AH81" s="61">
        <f>650*4.45*180</f>
        <v>520650</v>
      </c>
      <c r="AI81" s="91"/>
      <c r="AJ81" s="60">
        <f t="shared" si="79"/>
        <v>520650</v>
      </c>
      <c r="AL81" s="91"/>
      <c r="AM81" s="91"/>
      <c r="AN81" s="61"/>
      <c r="AO81" s="91"/>
      <c r="AP81" s="60">
        <f t="shared" si="80"/>
        <v>0</v>
      </c>
      <c r="AR81" s="60">
        <f t="shared" si="81"/>
        <v>0</v>
      </c>
      <c r="AS81" s="60">
        <f t="shared" si="73"/>
        <v>0</v>
      </c>
      <c r="AT81" s="60">
        <f t="shared" si="73"/>
        <v>3596895.5607000003</v>
      </c>
      <c r="AU81" s="60">
        <f t="shared" si="73"/>
        <v>0</v>
      </c>
      <c r="AV81" s="60">
        <f t="shared" si="82"/>
        <v>3596895.5607000003</v>
      </c>
    </row>
    <row r="82" spans="1:48" x14ac:dyDescent="0.25">
      <c r="A82" s="23"/>
      <c r="B82" s="65">
        <f>SUM(B68:B81)</f>
        <v>12331975.5</v>
      </c>
      <c r="C82" s="65">
        <f t="shared" ref="C82:F82" si="83">SUM(C68:C81)</f>
        <v>927011</v>
      </c>
      <c r="D82" s="65">
        <f t="shared" si="83"/>
        <v>1195831.0016999999</v>
      </c>
      <c r="E82" s="65">
        <f t="shared" si="83"/>
        <v>0</v>
      </c>
      <c r="F82" s="65">
        <f t="shared" si="83"/>
        <v>14454817.501699999</v>
      </c>
      <c r="H82" s="65">
        <f>SUM(H68:H81)</f>
        <v>12323563.5</v>
      </c>
      <c r="I82" s="65">
        <f t="shared" ref="I82:L82" si="84">SUM(I68:I81)</f>
        <v>927011</v>
      </c>
      <c r="J82" s="65">
        <f t="shared" si="84"/>
        <v>982035.7514999999</v>
      </c>
      <c r="K82" s="65">
        <f t="shared" si="84"/>
        <v>0</v>
      </c>
      <c r="L82" s="65">
        <f t="shared" si="84"/>
        <v>14232610.251499999</v>
      </c>
      <c r="N82" s="65">
        <f>SUM(N68:N81)</f>
        <v>29414783.25</v>
      </c>
      <c r="O82" s="65">
        <f t="shared" ref="O82:R82" si="85">SUM(O68:O81)</f>
        <v>2269857</v>
      </c>
      <c r="P82" s="65">
        <f t="shared" si="85"/>
        <v>1526371.9020000002</v>
      </c>
      <c r="Q82" s="65">
        <f t="shared" si="85"/>
        <v>0</v>
      </c>
      <c r="R82" s="65">
        <f t="shared" si="85"/>
        <v>33211012.151999999</v>
      </c>
      <c r="T82" s="65">
        <f t="shared" ref="T82:X82" si="86">SUM(T68:T81)</f>
        <v>6066039.125</v>
      </c>
      <c r="U82" s="65">
        <f t="shared" si="86"/>
        <v>303120</v>
      </c>
      <c r="V82" s="65">
        <f t="shared" si="86"/>
        <v>460350</v>
      </c>
      <c r="W82" s="65">
        <f t="shared" si="86"/>
        <v>0</v>
      </c>
      <c r="X82" s="65">
        <f t="shared" si="86"/>
        <v>6829509.125</v>
      </c>
      <c r="Y82" s="199"/>
      <c r="Z82" s="65">
        <f t="shared" ref="Z82:AD82" si="87">SUM(Z68:Z81)</f>
        <v>12798947.5625</v>
      </c>
      <c r="AA82" s="65">
        <f t="shared" si="87"/>
        <v>520253</v>
      </c>
      <c r="AB82" s="65">
        <f t="shared" si="87"/>
        <v>1039770</v>
      </c>
      <c r="AC82" s="65">
        <f t="shared" si="87"/>
        <v>0</v>
      </c>
      <c r="AD82" s="65">
        <f t="shared" si="87"/>
        <v>14358970.5625</v>
      </c>
      <c r="AE82" s="199"/>
      <c r="AF82" s="65">
        <f t="shared" ref="AF82:AJ82" si="88">SUM(AF68:AF81)</f>
        <v>12247680</v>
      </c>
      <c r="AG82" s="65">
        <f t="shared" si="88"/>
        <v>542513</v>
      </c>
      <c r="AH82" s="65">
        <f t="shared" si="88"/>
        <v>801450</v>
      </c>
      <c r="AI82" s="65">
        <f t="shared" si="88"/>
        <v>0</v>
      </c>
      <c r="AJ82" s="65">
        <f t="shared" si="88"/>
        <v>13591643</v>
      </c>
      <c r="AL82" s="65">
        <f>SUM(AL68:AL81)</f>
        <v>0</v>
      </c>
      <c r="AM82" s="65">
        <f t="shared" ref="AM82:AP82" si="89">SUM(AM68:AM81)</f>
        <v>0</v>
      </c>
      <c r="AN82" s="65">
        <f t="shared" si="89"/>
        <v>0</v>
      </c>
      <c r="AO82" s="65">
        <f t="shared" si="89"/>
        <v>1993322</v>
      </c>
      <c r="AP82" s="65">
        <f t="shared" si="89"/>
        <v>1993322</v>
      </c>
      <c r="AR82" s="65">
        <f>SUM(AR68:AR81)</f>
        <v>85182988.9375</v>
      </c>
      <c r="AS82" s="65">
        <f t="shared" ref="AS82:AV82" si="90">SUM(AS68:AS81)</f>
        <v>5489765</v>
      </c>
      <c r="AT82" s="65">
        <f t="shared" si="90"/>
        <v>6005808.6552000009</v>
      </c>
      <c r="AU82" s="65">
        <f t="shared" si="90"/>
        <v>1993322</v>
      </c>
      <c r="AV82" s="65">
        <f t="shared" si="90"/>
        <v>98671884.592700005</v>
      </c>
    </row>
    <row r="83" spans="1:48" x14ac:dyDescent="0.25">
      <c r="B83" s="57"/>
      <c r="C83" s="57"/>
      <c r="D83" s="57"/>
      <c r="E83" s="57"/>
      <c r="F83" s="57"/>
      <c r="H83" s="57"/>
      <c r="I83" s="57"/>
      <c r="J83" s="57"/>
      <c r="K83" s="57"/>
      <c r="L83" s="57"/>
      <c r="N83" s="57"/>
      <c r="O83" s="57"/>
      <c r="P83" s="57"/>
      <c r="Q83" s="57"/>
      <c r="R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L83" s="57"/>
      <c r="AM83" s="57"/>
      <c r="AN83" s="57"/>
      <c r="AO83" s="57"/>
      <c r="AP83" s="57"/>
      <c r="AR83" s="57"/>
      <c r="AS83" s="57"/>
      <c r="AT83" s="57"/>
      <c r="AU83" s="57"/>
      <c r="AV83" s="57"/>
    </row>
    <row r="84" spans="1:48" x14ac:dyDescent="0.25">
      <c r="A84" s="24"/>
      <c r="B84" s="66" t="s">
        <v>157</v>
      </c>
      <c r="C84" s="66" t="s">
        <v>158</v>
      </c>
      <c r="D84" s="66" t="s">
        <v>159</v>
      </c>
      <c r="E84" s="67" t="str">
        <f>E67</f>
        <v>Other</v>
      </c>
      <c r="F84" s="67" t="str">
        <f>F67</f>
        <v>FY30- Mtn</v>
      </c>
      <c r="H84" s="66" t="s">
        <v>157</v>
      </c>
      <c r="I84" s="66" t="s">
        <v>158</v>
      </c>
      <c r="J84" s="66" t="s">
        <v>159</v>
      </c>
      <c r="K84" s="67" t="str">
        <f>K67</f>
        <v>Other</v>
      </c>
      <c r="L84" s="67" t="str">
        <f>L67</f>
        <v>FY30- Bon</v>
      </c>
      <c r="N84" s="66" t="s">
        <v>157</v>
      </c>
      <c r="O84" s="66" t="s">
        <v>158</v>
      </c>
      <c r="P84" s="66" t="s">
        <v>159</v>
      </c>
      <c r="Q84" s="67" t="str">
        <f>Q67</f>
        <v>Other</v>
      </c>
      <c r="R84" s="67" t="str">
        <f>R67</f>
        <v>FY30- East</v>
      </c>
      <c r="T84" s="66" t="s">
        <v>157</v>
      </c>
      <c r="U84" s="66" t="s">
        <v>158</v>
      </c>
      <c r="V84" s="66" t="s">
        <v>159</v>
      </c>
      <c r="W84" s="67" t="str">
        <f>W67</f>
        <v>Other</v>
      </c>
      <c r="X84" s="67" t="str">
        <f>X67</f>
        <v>FY30- Cactus</v>
      </c>
      <c r="Y84" s="198"/>
      <c r="Z84" s="66" t="s">
        <v>157</v>
      </c>
      <c r="AA84" s="66" t="s">
        <v>158</v>
      </c>
      <c r="AB84" s="66" t="s">
        <v>159</v>
      </c>
      <c r="AC84" s="67" t="str">
        <f>AC67</f>
        <v>Other</v>
      </c>
      <c r="AD84" s="67" t="str">
        <f>AD67</f>
        <v>FY30- Sahara</v>
      </c>
      <c r="AE84" s="198"/>
      <c r="AF84" s="66" t="s">
        <v>157</v>
      </c>
      <c r="AG84" s="66" t="s">
        <v>158</v>
      </c>
      <c r="AH84" s="66" t="s">
        <v>159</v>
      </c>
      <c r="AI84" s="67" t="str">
        <f>AI67</f>
        <v>Other</v>
      </c>
      <c r="AJ84" s="67" t="str">
        <f>AJ67</f>
        <v>FY30- VV</v>
      </c>
      <c r="AL84" s="66" t="s">
        <v>157</v>
      </c>
      <c r="AM84" s="66" t="s">
        <v>158</v>
      </c>
      <c r="AN84" s="66" t="s">
        <v>159</v>
      </c>
      <c r="AO84" s="67" t="str">
        <f>AO67</f>
        <v>Grant</v>
      </c>
      <c r="AP84" s="67" t="str">
        <f>AP67</f>
        <v>FY30 - Central</v>
      </c>
      <c r="AR84" s="66" t="s">
        <v>157</v>
      </c>
      <c r="AS84" s="66" t="s">
        <v>158</v>
      </c>
      <c r="AT84" s="66" t="s">
        <v>159</v>
      </c>
      <c r="AU84" s="67" t="str">
        <f>AU67</f>
        <v>Other</v>
      </c>
      <c r="AV84" s="67" t="str">
        <f>AV67</f>
        <v>FY29- Sys</v>
      </c>
    </row>
    <row r="85" spans="1:48" x14ac:dyDescent="0.25">
      <c r="A85" s="20" t="s">
        <v>74</v>
      </c>
      <c r="B85" s="68"/>
      <c r="C85" s="68"/>
      <c r="D85" s="68"/>
      <c r="E85" s="68"/>
      <c r="F85" s="68"/>
      <c r="H85" s="68"/>
      <c r="I85" s="68"/>
      <c r="J85" s="68"/>
      <c r="K85" s="68"/>
      <c r="L85" s="68"/>
      <c r="N85" s="75"/>
      <c r="O85" s="75"/>
      <c r="P85" s="75"/>
      <c r="Q85" s="75"/>
      <c r="R85" s="75">
        <f>SUM(N85:Q85)</f>
        <v>0</v>
      </c>
      <c r="T85" s="68"/>
      <c r="U85" s="68"/>
      <c r="V85" s="68"/>
      <c r="W85" s="68"/>
      <c r="X85" s="68"/>
      <c r="Y85" s="57"/>
      <c r="Z85" s="68"/>
      <c r="AA85" s="68"/>
      <c r="AB85" s="68"/>
      <c r="AC85" s="68"/>
      <c r="AD85" s="68"/>
      <c r="AE85" s="57"/>
      <c r="AF85" s="68"/>
      <c r="AG85" s="68"/>
      <c r="AH85" s="68"/>
      <c r="AI85" s="68"/>
      <c r="AJ85" s="68"/>
      <c r="AL85" s="75"/>
      <c r="AM85" s="75"/>
      <c r="AN85" s="75"/>
      <c r="AO85" s="75"/>
      <c r="AP85" s="68"/>
      <c r="AR85" s="75">
        <f>B85+H85+N85+T85+AL85+AF85+Z85</f>
        <v>0</v>
      </c>
      <c r="AS85" s="75">
        <f t="shared" ref="AS85:AU87" si="91">C85+I85+O85+U85+AM85+AG85+AA85</f>
        <v>0</v>
      </c>
      <c r="AT85" s="75">
        <f t="shared" si="91"/>
        <v>0</v>
      </c>
      <c r="AU85" s="75">
        <f t="shared" si="91"/>
        <v>0</v>
      </c>
      <c r="AV85" s="93">
        <f>SUM(AR85:AU85)</f>
        <v>0</v>
      </c>
    </row>
    <row r="86" spans="1:48" x14ac:dyDescent="0.25">
      <c r="A86" s="21" t="s">
        <v>75</v>
      </c>
      <c r="B86" s="69"/>
      <c r="C86" s="69"/>
      <c r="D86" s="69"/>
      <c r="E86" s="69"/>
      <c r="F86" s="69"/>
      <c r="H86" s="69"/>
      <c r="I86" s="69"/>
      <c r="J86" s="69"/>
      <c r="K86" s="69"/>
      <c r="L86" s="69"/>
      <c r="N86" s="63"/>
      <c r="O86" s="63"/>
      <c r="P86" s="63"/>
      <c r="Q86" s="63"/>
      <c r="R86" s="75">
        <f t="shared" ref="R86:R87" si="92">SUM(N86:Q86)</f>
        <v>0</v>
      </c>
      <c r="T86" s="69"/>
      <c r="U86" s="69"/>
      <c r="V86" s="69"/>
      <c r="W86" s="69"/>
      <c r="X86" s="69"/>
      <c r="Y86" s="57"/>
      <c r="Z86" s="69"/>
      <c r="AA86" s="69"/>
      <c r="AB86" s="69"/>
      <c r="AC86" s="69"/>
      <c r="AD86" s="69"/>
      <c r="AE86" s="57"/>
      <c r="AF86" s="69"/>
      <c r="AG86" s="69"/>
      <c r="AH86" s="69"/>
      <c r="AI86" s="69"/>
      <c r="AJ86" s="69"/>
      <c r="AL86" s="63"/>
      <c r="AM86" s="63"/>
      <c r="AN86" s="63"/>
      <c r="AO86" s="63"/>
      <c r="AP86" s="69"/>
      <c r="AR86" s="75">
        <f t="shared" ref="AR86:AR87" si="93">B86+H86+N86+T86+AL86+AF86+Z86</f>
        <v>0</v>
      </c>
      <c r="AS86" s="75">
        <f t="shared" si="91"/>
        <v>0</v>
      </c>
      <c r="AT86" s="75">
        <f t="shared" si="91"/>
        <v>0</v>
      </c>
      <c r="AU86" s="75">
        <f t="shared" si="91"/>
        <v>0</v>
      </c>
      <c r="AV86" s="93">
        <f t="shared" ref="AV86:AV87" si="94">SUM(AR86:AU86)</f>
        <v>0</v>
      </c>
    </row>
    <row r="87" spans="1:48" x14ac:dyDescent="0.25">
      <c r="A87" s="22" t="s">
        <v>76</v>
      </c>
      <c r="B87" s="70"/>
      <c r="C87" s="70"/>
      <c r="D87" s="70"/>
      <c r="E87" s="70"/>
      <c r="F87" s="70"/>
      <c r="H87" s="70"/>
      <c r="I87" s="70"/>
      <c r="J87" s="70"/>
      <c r="K87" s="70"/>
      <c r="L87" s="70"/>
      <c r="N87" s="64"/>
      <c r="O87" s="64"/>
      <c r="P87" s="64"/>
      <c r="Q87" s="64">
        <v>0</v>
      </c>
      <c r="R87" s="75">
        <f t="shared" si="92"/>
        <v>0</v>
      </c>
      <c r="T87" s="70"/>
      <c r="U87" s="70"/>
      <c r="V87" s="70"/>
      <c r="W87" s="70"/>
      <c r="X87" s="70"/>
      <c r="Y87" s="57"/>
      <c r="Z87" s="70"/>
      <c r="AA87" s="70"/>
      <c r="AB87" s="70"/>
      <c r="AC87" s="70"/>
      <c r="AD87" s="70"/>
      <c r="AE87" s="57"/>
      <c r="AF87" s="70"/>
      <c r="AG87" s="70"/>
      <c r="AH87" s="70"/>
      <c r="AI87" s="70"/>
      <c r="AJ87" s="70"/>
      <c r="AL87" s="64"/>
      <c r="AM87" s="64"/>
      <c r="AN87" s="64"/>
      <c r="AO87" s="64"/>
      <c r="AP87" s="70"/>
      <c r="AR87" s="75">
        <f t="shared" si="93"/>
        <v>0</v>
      </c>
      <c r="AS87" s="75">
        <f t="shared" si="91"/>
        <v>0</v>
      </c>
      <c r="AT87" s="75">
        <f t="shared" si="91"/>
        <v>0</v>
      </c>
      <c r="AU87" s="75">
        <f t="shared" si="91"/>
        <v>0</v>
      </c>
      <c r="AV87" s="93">
        <f t="shared" si="94"/>
        <v>0</v>
      </c>
    </row>
    <row r="88" spans="1:48" x14ac:dyDescent="0.25">
      <c r="A88" s="24"/>
      <c r="B88" s="71">
        <f>SUM(B85:B87)</f>
        <v>0</v>
      </c>
      <c r="C88" s="71">
        <f t="shared" ref="C88:F88" si="95">SUM(C85:C87)</f>
        <v>0</v>
      </c>
      <c r="D88" s="71">
        <f t="shared" si="95"/>
        <v>0</v>
      </c>
      <c r="E88" s="71">
        <f t="shared" si="95"/>
        <v>0</v>
      </c>
      <c r="F88" s="71">
        <f t="shared" si="95"/>
        <v>0</v>
      </c>
      <c r="H88" s="71">
        <f>SUM(H85:H87)</f>
        <v>0</v>
      </c>
      <c r="I88" s="71">
        <f t="shared" ref="I88:L88" si="96">SUM(I85:I87)</f>
        <v>0</v>
      </c>
      <c r="J88" s="71">
        <f t="shared" si="96"/>
        <v>0</v>
      </c>
      <c r="K88" s="71">
        <f t="shared" si="96"/>
        <v>0</v>
      </c>
      <c r="L88" s="71">
        <f t="shared" si="96"/>
        <v>0</v>
      </c>
      <c r="N88" s="88">
        <f>SUM(N85:N87)</f>
        <v>0</v>
      </c>
      <c r="O88" s="88">
        <f t="shared" ref="O88:R88" si="97">SUM(O85:O87)</f>
        <v>0</v>
      </c>
      <c r="P88" s="88">
        <f t="shared" si="97"/>
        <v>0</v>
      </c>
      <c r="Q88" s="88">
        <f t="shared" si="97"/>
        <v>0</v>
      </c>
      <c r="R88" s="88">
        <f t="shared" si="97"/>
        <v>0</v>
      </c>
      <c r="T88" s="71">
        <f t="shared" ref="T88:X88" si="98">SUM(T85:T87)</f>
        <v>0</v>
      </c>
      <c r="U88" s="71">
        <f t="shared" si="98"/>
        <v>0</v>
      </c>
      <c r="V88" s="71">
        <f t="shared" si="98"/>
        <v>0</v>
      </c>
      <c r="W88" s="71">
        <f t="shared" si="98"/>
        <v>0</v>
      </c>
      <c r="X88" s="71">
        <f t="shared" si="98"/>
        <v>0</v>
      </c>
      <c r="Y88" s="200"/>
      <c r="Z88" s="71">
        <f t="shared" ref="Z88:AD88" si="99">SUM(Z85:Z87)</f>
        <v>0</v>
      </c>
      <c r="AA88" s="71">
        <f t="shared" si="99"/>
        <v>0</v>
      </c>
      <c r="AB88" s="71">
        <f t="shared" si="99"/>
        <v>0</v>
      </c>
      <c r="AC88" s="71">
        <f t="shared" si="99"/>
        <v>0</v>
      </c>
      <c r="AD88" s="71">
        <f t="shared" si="99"/>
        <v>0</v>
      </c>
      <c r="AE88" s="200"/>
      <c r="AF88" s="71">
        <f t="shared" ref="AF88:AJ88" si="100">SUM(AF85:AF87)</f>
        <v>0</v>
      </c>
      <c r="AG88" s="71">
        <f t="shared" si="100"/>
        <v>0</v>
      </c>
      <c r="AH88" s="71">
        <f t="shared" si="100"/>
        <v>0</v>
      </c>
      <c r="AI88" s="71">
        <f t="shared" si="100"/>
        <v>0</v>
      </c>
      <c r="AJ88" s="71">
        <f t="shared" si="100"/>
        <v>0</v>
      </c>
      <c r="AL88" s="88">
        <f>SUM(AL85:AL87)</f>
        <v>0</v>
      </c>
      <c r="AM88" s="88">
        <f t="shared" ref="AM88:AP88" si="101">SUM(AM85:AM87)</f>
        <v>0</v>
      </c>
      <c r="AN88" s="88">
        <f t="shared" si="101"/>
        <v>0</v>
      </c>
      <c r="AO88" s="88">
        <f t="shared" si="101"/>
        <v>0</v>
      </c>
      <c r="AP88" s="71">
        <f t="shared" si="101"/>
        <v>0</v>
      </c>
      <c r="AR88" s="88">
        <f>SUM(AR85:AR87)</f>
        <v>0</v>
      </c>
      <c r="AS88" s="88">
        <f t="shared" ref="AS88:AV88" si="102">SUM(AS85:AS87)</f>
        <v>0</v>
      </c>
      <c r="AT88" s="88">
        <f t="shared" si="102"/>
        <v>0</v>
      </c>
      <c r="AU88" s="88">
        <f t="shared" si="102"/>
        <v>0</v>
      </c>
      <c r="AV88" s="71">
        <f t="shared" si="102"/>
        <v>0</v>
      </c>
    </row>
    <row r="89" spans="1:48" x14ac:dyDescent="0.25">
      <c r="B89" s="57"/>
      <c r="C89" s="57"/>
      <c r="D89" s="57"/>
      <c r="E89" s="57"/>
      <c r="F89" s="57"/>
      <c r="H89" s="57"/>
      <c r="I89" s="57"/>
      <c r="J89" s="57"/>
      <c r="K89" s="57"/>
      <c r="L89" s="57"/>
      <c r="N89" s="57"/>
      <c r="O89" s="57"/>
      <c r="P89" s="57"/>
      <c r="Q89" s="57"/>
      <c r="R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L89" s="57"/>
      <c r="AM89" s="57"/>
      <c r="AN89" s="57"/>
      <c r="AO89" s="57"/>
      <c r="AP89" s="57"/>
      <c r="AR89" s="57"/>
      <c r="AS89" s="57"/>
      <c r="AT89" s="57"/>
      <c r="AU89" s="57"/>
      <c r="AV89" s="57"/>
    </row>
    <row r="90" spans="1:48" ht="16.5" thickBot="1" x14ac:dyDescent="0.3">
      <c r="B90" s="57"/>
      <c r="C90" s="57"/>
      <c r="D90" s="57"/>
      <c r="E90" s="57"/>
      <c r="F90" s="57"/>
      <c r="H90" s="57"/>
      <c r="I90" s="57"/>
      <c r="J90" s="57"/>
      <c r="K90" s="57"/>
      <c r="L90" s="57"/>
      <c r="N90" s="57"/>
      <c r="O90" s="57"/>
      <c r="P90" s="57"/>
      <c r="Q90" s="57"/>
      <c r="R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L90" s="57"/>
      <c r="AM90" s="57"/>
      <c r="AN90" s="57"/>
      <c r="AO90" s="57"/>
      <c r="AP90" s="57"/>
      <c r="AR90" s="57"/>
      <c r="AS90" s="57"/>
      <c r="AT90" s="57"/>
      <c r="AU90" s="57"/>
      <c r="AV90" s="57"/>
    </row>
    <row r="91" spans="1:48" x14ac:dyDescent="0.25">
      <c r="A91" s="25"/>
      <c r="B91" s="72" t="s">
        <v>157</v>
      </c>
      <c r="C91" s="72" t="s">
        <v>158</v>
      </c>
      <c r="D91" s="72" t="s">
        <v>159</v>
      </c>
      <c r="E91" s="73" t="str">
        <f>E84</f>
        <v>Other</v>
      </c>
      <c r="F91" s="73" t="str">
        <f>F84</f>
        <v>FY30- Mtn</v>
      </c>
      <c r="H91" s="72" t="s">
        <v>157</v>
      </c>
      <c r="I91" s="72" t="s">
        <v>158</v>
      </c>
      <c r="J91" s="72" t="s">
        <v>159</v>
      </c>
      <c r="K91" s="73" t="str">
        <f>K84</f>
        <v>Other</v>
      </c>
      <c r="L91" s="73" t="str">
        <f>L84</f>
        <v>FY30- Bon</v>
      </c>
      <c r="N91" s="72" t="s">
        <v>157</v>
      </c>
      <c r="O91" s="72" t="s">
        <v>158</v>
      </c>
      <c r="P91" s="72" t="s">
        <v>159</v>
      </c>
      <c r="Q91" s="73" t="str">
        <f>Q84</f>
        <v>Other</v>
      </c>
      <c r="R91" s="73" t="str">
        <f>R84</f>
        <v>FY30- East</v>
      </c>
      <c r="T91" s="72" t="s">
        <v>157</v>
      </c>
      <c r="U91" s="72" t="s">
        <v>158</v>
      </c>
      <c r="V91" s="72" t="s">
        <v>159</v>
      </c>
      <c r="W91" s="73" t="str">
        <f>W84</f>
        <v>Other</v>
      </c>
      <c r="X91" s="73" t="str">
        <f>X84</f>
        <v>FY30- Cactus</v>
      </c>
      <c r="Y91" s="198"/>
      <c r="Z91" s="72" t="s">
        <v>157</v>
      </c>
      <c r="AA91" s="72" t="s">
        <v>158</v>
      </c>
      <c r="AB91" s="72" t="s">
        <v>159</v>
      </c>
      <c r="AC91" s="73" t="str">
        <f>AC84</f>
        <v>Other</v>
      </c>
      <c r="AD91" s="73" t="str">
        <f>AD84</f>
        <v>FY30- Sahara</v>
      </c>
      <c r="AE91" s="198"/>
      <c r="AF91" s="72" t="s">
        <v>157</v>
      </c>
      <c r="AG91" s="72" t="s">
        <v>158</v>
      </c>
      <c r="AH91" s="72" t="s">
        <v>159</v>
      </c>
      <c r="AI91" s="73" t="str">
        <f>AI84</f>
        <v>Other</v>
      </c>
      <c r="AJ91" s="73" t="str">
        <f>AJ84</f>
        <v>FY30- VV</v>
      </c>
      <c r="AL91" s="72" t="s">
        <v>157</v>
      </c>
      <c r="AM91" s="72" t="s">
        <v>158</v>
      </c>
      <c r="AN91" s="72" t="s">
        <v>159</v>
      </c>
      <c r="AO91" s="73" t="str">
        <f>AO84</f>
        <v>Grant</v>
      </c>
      <c r="AP91" s="73" t="str">
        <f>AP84</f>
        <v>FY30 - Central</v>
      </c>
      <c r="AR91" s="72" t="s">
        <v>157</v>
      </c>
      <c r="AS91" s="72" t="s">
        <v>158</v>
      </c>
      <c r="AT91" s="72" t="s">
        <v>159</v>
      </c>
      <c r="AU91" s="73" t="str">
        <f>AU84</f>
        <v>Other</v>
      </c>
      <c r="AV91" s="73" t="str">
        <f>AV84</f>
        <v>FY29- Sys</v>
      </c>
    </row>
    <row r="92" spans="1:48" x14ac:dyDescent="0.25">
      <c r="A92" s="26"/>
      <c r="B92" s="74"/>
      <c r="C92" s="74"/>
      <c r="D92" s="74"/>
      <c r="E92" s="74"/>
      <c r="F92" s="74"/>
      <c r="H92" s="74"/>
      <c r="I92" s="74"/>
      <c r="J92" s="74"/>
      <c r="K92" s="74"/>
      <c r="L92" s="74"/>
      <c r="N92" s="74"/>
      <c r="O92" s="74"/>
      <c r="P92" s="74"/>
      <c r="Q92" s="74"/>
      <c r="R92" s="74"/>
      <c r="T92" s="74"/>
      <c r="U92" s="74"/>
      <c r="V92" s="74"/>
      <c r="W92" s="74"/>
      <c r="X92" s="74"/>
      <c r="Y92" s="57"/>
      <c r="Z92" s="74"/>
      <c r="AA92" s="74"/>
      <c r="AB92" s="74"/>
      <c r="AC92" s="74"/>
      <c r="AD92" s="74"/>
      <c r="AE92" s="57"/>
      <c r="AF92" s="74"/>
      <c r="AG92" s="74"/>
      <c r="AH92" s="74"/>
      <c r="AI92" s="74"/>
      <c r="AJ92" s="74"/>
      <c r="AL92" s="74"/>
      <c r="AM92" s="74"/>
      <c r="AN92" s="74"/>
      <c r="AO92" s="74"/>
      <c r="AP92" s="74"/>
      <c r="AR92" s="74"/>
      <c r="AS92" s="74"/>
      <c r="AT92" s="74"/>
      <c r="AU92" s="74"/>
      <c r="AV92" s="74"/>
    </row>
    <row r="93" spans="1:48" x14ac:dyDescent="0.25">
      <c r="A93" s="20" t="s">
        <v>34</v>
      </c>
      <c r="B93" s="75">
        <f>170100*1.01*1.01*1.01*1.01</f>
        <v>177006.74210100001</v>
      </c>
      <c r="C93" s="75"/>
      <c r="D93" s="75"/>
      <c r="E93" s="75"/>
      <c r="F93" s="75">
        <f>SUM(B93:E93)</f>
        <v>177006.74210100001</v>
      </c>
      <c r="H93" s="75">
        <f>170100*1.01*1.01*1.01*1.01</f>
        <v>177006.74210100001</v>
      </c>
      <c r="I93" s="75"/>
      <c r="J93" s="75"/>
      <c r="K93" s="75"/>
      <c r="L93" s="75">
        <f>SUM(H93:K93)</f>
        <v>177006.74210100001</v>
      </c>
      <c r="N93" s="75">
        <f>225750*1.01*1.01*1.01*1.01</f>
        <v>234916.35525750002</v>
      </c>
      <c r="O93" s="75"/>
      <c r="P93" s="75"/>
      <c r="Q93" s="75"/>
      <c r="R93" s="75">
        <f>SUM(N93:Q93)</f>
        <v>234916.35525750002</v>
      </c>
      <c r="T93" s="75">
        <f>125000*1.01*1.01*1.01*1.01</f>
        <v>130075.50125</v>
      </c>
      <c r="U93" s="75"/>
      <c r="V93" s="75"/>
      <c r="W93" s="75"/>
      <c r="X93" s="75">
        <f>SUM(T93:W93)</f>
        <v>130075.50125</v>
      </c>
      <c r="Y93" s="194"/>
      <c r="Z93" s="75">
        <f>135000*1.01*1.01*1.01</f>
        <v>139090.63500000001</v>
      </c>
      <c r="AA93" s="75"/>
      <c r="AB93" s="75"/>
      <c r="AC93" s="75"/>
      <c r="AD93" s="75">
        <f>SUM(Z93:AC93)</f>
        <v>139090.63500000001</v>
      </c>
      <c r="AE93" s="194"/>
      <c r="AF93" s="75">
        <f>140000*1.01*1.01</f>
        <v>142814</v>
      </c>
      <c r="AG93" s="75"/>
      <c r="AH93" s="75"/>
      <c r="AI93" s="75"/>
      <c r="AJ93" s="75">
        <f>SUM(AF93:AI93)</f>
        <v>142814</v>
      </c>
      <c r="AL93" s="75"/>
      <c r="AM93" s="75"/>
      <c r="AN93" s="75"/>
      <c r="AO93" s="75"/>
      <c r="AP93" s="75">
        <f>SUM(AL93:AO93)</f>
        <v>0</v>
      </c>
      <c r="AR93" s="75">
        <f>B93+H93+N93+T93+AL93+AF93+Z93</f>
        <v>1000909.9757095</v>
      </c>
      <c r="AS93" s="75">
        <f t="shared" ref="AS93:AU108" si="103">C93+I93+O93+U93+AM93+AG93+AA93</f>
        <v>0</v>
      </c>
      <c r="AT93" s="75">
        <f t="shared" si="103"/>
        <v>0</v>
      </c>
      <c r="AU93" s="75">
        <f t="shared" si="103"/>
        <v>0</v>
      </c>
      <c r="AV93" s="75">
        <f>SUM(AR93:AU93)</f>
        <v>1000909.9757095</v>
      </c>
    </row>
    <row r="94" spans="1:48" x14ac:dyDescent="0.25">
      <c r="A94" s="21" t="s">
        <v>77</v>
      </c>
      <c r="B94" s="63">
        <f>(105000+87550)*1.03*1.01*1.01*1.01*1.01</f>
        <v>206379.35118926503</v>
      </c>
      <c r="C94" s="63"/>
      <c r="D94" s="63"/>
      <c r="E94" s="63"/>
      <c r="F94" s="75">
        <f t="shared" ref="F94:F108" si="104">SUM(B94:E94)</f>
        <v>206379.35118926503</v>
      </c>
      <c r="H94" s="63">
        <f>((98000+90000+95000)+85000)*1.03*1.01*1.01*1.01*1.01</f>
        <v>394430.54395040002</v>
      </c>
      <c r="I94" s="63"/>
      <c r="J94" s="63"/>
      <c r="K94" s="63"/>
      <c r="L94" s="75">
        <f t="shared" ref="L94:L108" si="105">SUM(H94:K94)</f>
        <v>394430.54395040002</v>
      </c>
      <c r="N94" s="63">
        <f>(105000+105000+105000+110000+83000)*1.03*1.01*1.01*1.01*1.01</f>
        <v>544485.64219240006</v>
      </c>
      <c r="O94" s="63"/>
      <c r="P94" s="63"/>
      <c r="Q94" s="63"/>
      <c r="R94" s="75">
        <f t="shared" ref="R94:R108" si="106">SUM(N94:Q94)</f>
        <v>544485.64219240006</v>
      </c>
      <c r="T94" s="63">
        <v>0</v>
      </c>
      <c r="U94" s="63"/>
      <c r="V94" s="63"/>
      <c r="W94" s="63"/>
      <c r="X94" s="75">
        <f t="shared" ref="X94:X108" si="107">SUM(T94:W94)</f>
        <v>0</v>
      </c>
      <c r="Y94" s="194"/>
      <c r="Z94" s="63">
        <f>(100000+90000)*1.01*1.01</f>
        <v>193819</v>
      </c>
      <c r="AA94" s="63"/>
      <c r="AB94" s="63"/>
      <c r="AC94" s="63"/>
      <c r="AD94" s="75">
        <f t="shared" ref="AD94:AD108" si="108">SUM(Z94:AC94)</f>
        <v>193819</v>
      </c>
      <c r="AE94" s="194"/>
      <c r="AF94" s="63">
        <f>(90000*AF40)*1.01*1.01</f>
        <v>275427</v>
      </c>
      <c r="AG94" s="63"/>
      <c r="AH94" s="63"/>
      <c r="AI94" s="63"/>
      <c r="AJ94" s="75">
        <f t="shared" ref="AJ94:AJ108" si="109">SUM(AF94:AI94)</f>
        <v>275427</v>
      </c>
      <c r="AL94" s="63"/>
      <c r="AM94" s="63">
        <f>118450*1.01*1.01*1.01*1.01</f>
        <v>123259.5449845</v>
      </c>
      <c r="AN94" s="63"/>
      <c r="AO94" s="63"/>
      <c r="AP94" s="75">
        <f t="shared" ref="AP94:AP108" si="110">SUM(AL94:AO94)</f>
        <v>123259.5449845</v>
      </c>
      <c r="AR94" s="75">
        <f t="shared" ref="AR94:AR108" si="111">B94+H94+N94+T94+AL94+AF94+Z94</f>
        <v>1614541.5373320652</v>
      </c>
      <c r="AS94" s="75">
        <f t="shared" si="103"/>
        <v>123259.5449845</v>
      </c>
      <c r="AT94" s="75">
        <f t="shared" si="103"/>
        <v>0</v>
      </c>
      <c r="AU94" s="75">
        <f t="shared" si="103"/>
        <v>0</v>
      </c>
      <c r="AV94" s="75">
        <f t="shared" ref="AV94:AV108" si="112">SUM(AR94:AU94)</f>
        <v>1737801.0823165651</v>
      </c>
    </row>
    <row r="95" spans="1:48" x14ac:dyDescent="0.25">
      <c r="A95" s="21" t="s">
        <v>39</v>
      </c>
      <c r="B95" s="63">
        <f>(70000+88000)*1.01*1.01*1.01*1.01</f>
        <v>164415.43357999998</v>
      </c>
      <c r="C95" s="63"/>
      <c r="D95" s="63"/>
      <c r="E95" s="63"/>
      <c r="F95" s="75">
        <f t="shared" si="104"/>
        <v>164415.43357999998</v>
      </c>
      <c r="H95" s="63">
        <f>(71000+65000)*1.01*1.01*1.01*1.01</f>
        <v>141522.14536000002</v>
      </c>
      <c r="I95" s="63"/>
      <c r="J95" s="63"/>
      <c r="K95" s="63"/>
      <c r="L95" s="75">
        <f t="shared" si="105"/>
        <v>141522.14536000002</v>
      </c>
      <c r="N95" s="63">
        <f>(80350*N44)*1.01*1.01*1.01*1.01</f>
        <v>418062.66101749998</v>
      </c>
      <c r="O95" s="63"/>
      <c r="P95" s="63"/>
      <c r="Q95" s="63"/>
      <c r="R95" s="75">
        <f t="shared" si="106"/>
        <v>418062.66101749998</v>
      </c>
      <c r="T95" s="63"/>
      <c r="U95" s="63"/>
      <c r="V95" s="63"/>
      <c r="W95" s="63"/>
      <c r="X95" s="75">
        <f t="shared" si="107"/>
        <v>0</v>
      </c>
      <c r="Y95" s="194"/>
      <c r="Z95" s="63">
        <f>(85000*Z44)*1.01</f>
        <v>171700</v>
      </c>
      <c r="AA95" s="63"/>
      <c r="AB95" s="63"/>
      <c r="AC95" s="63"/>
      <c r="AD95" s="75">
        <f t="shared" si="108"/>
        <v>171700</v>
      </c>
      <c r="AE95" s="194"/>
      <c r="AF95" s="63">
        <f>(85000*AF44)*1.01</f>
        <v>85850</v>
      </c>
      <c r="AG95" s="63"/>
      <c r="AH95" s="63"/>
      <c r="AI95" s="63"/>
      <c r="AJ95" s="75">
        <f t="shared" si="109"/>
        <v>85850</v>
      </c>
      <c r="AL95" s="63"/>
      <c r="AM95" s="63"/>
      <c r="AN95" s="63"/>
      <c r="AO95" s="63">
        <v>200000</v>
      </c>
      <c r="AP95" s="75">
        <f t="shared" si="110"/>
        <v>200000</v>
      </c>
      <c r="AR95" s="75">
        <f t="shared" si="111"/>
        <v>981550.23995750002</v>
      </c>
      <c r="AS95" s="75">
        <f t="shared" si="103"/>
        <v>0</v>
      </c>
      <c r="AT95" s="75">
        <f t="shared" si="103"/>
        <v>0</v>
      </c>
      <c r="AU95" s="75">
        <f t="shared" si="103"/>
        <v>200000</v>
      </c>
      <c r="AV95" s="75">
        <f t="shared" si="112"/>
        <v>1181550.2399575</v>
      </c>
    </row>
    <row r="96" spans="1:48" x14ac:dyDescent="0.25">
      <c r="A96" s="21" t="s">
        <v>78</v>
      </c>
      <c r="B96" s="63">
        <f>(75000+43000)*1.01*1.01*1.01*1.01</f>
        <v>122791.27318000002</v>
      </c>
      <c r="C96" s="63"/>
      <c r="D96" s="63"/>
      <c r="E96" s="63"/>
      <c r="F96" s="75">
        <f t="shared" si="104"/>
        <v>122791.27318000002</v>
      </c>
      <c r="H96" s="63">
        <f>(60000+75000)*1.01*1.01*1.01*1.01</f>
        <v>140481.54135000001</v>
      </c>
      <c r="I96" s="63"/>
      <c r="J96" s="63"/>
      <c r="K96" s="63"/>
      <c r="L96" s="75">
        <f t="shared" si="105"/>
        <v>140481.54135000001</v>
      </c>
      <c r="N96" s="63"/>
      <c r="O96" s="63"/>
      <c r="P96" s="63"/>
      <c r="Q96" s="63"/>
      <c r="R96" s="75">
        <f t="shared" si="106"/>
        <v>0</v>
      </c>
      <c r="T96" s="63"/>
      <c r="U96" s="63"/>
      <c r="V96" s="63"/>
      <c r="W96" s="63"/>
      <c r="X96" s="75">
        <f t="shared" si="107"/>
        <v>0</v>
      </c>
      <c r="Y96" s="194"/>
      <c r="Z96" s="63"/>
      <c r="AA96" s="63"/>
      <c r="AB96" s="63"/>
      <c r="AC96" s="63"/>
      <c r="AD96" s="75">
        <f t="shared" si="108"/>
        <v>0</v>
      </c>
      <c r="AE96" s="194"/>
      <c r="AF96" s="63">
        <f>(65000*AF45)*1.01</f>
        <v>131300</v>
      </c>
      <c r="AG96" s="63"/>
      <c r="AH96" s="63"/>
      <c r="AI96" s="63"/>
      <c r="AJ96" s="75">
        <f t="shared" si="109"/>
        <v>131300</v>
      </c>
      <c r="AL96" s="63">
        <f>72100*1.01*1.01*1.01*1.01</f>
        <v>75027.549121000004</v>
      </c>
      <c r="AM96" s="63"/>
      <c r="AN96" s="63"/>
      <c r="AO96" s="63"/>
      <c r="AP96" s="75">
        <f t="shared" si="110"/>
        <v>75027.549121000004</v>
      </c>
      <c r="AR96" s="75">
        <f t="shared" si="111"/>
        <v>469600.36365100002</v>
      </c>
      <c r="AS96" s="75">
        <f t="shared" si="103"/>
        <v>0</v>
      </c>
      <c r="AT96" s="75">
        <f t="shared" si="103"/>
        <v>0</v>
      </c>
      <c r="AU96" s="75">
        <f t="shared" si="103"/>
        <v>0</v>
      </c>
      <c r="AV96" s="75">
        <f t="shared" si="112"/>
        <v>469600.36365100002</v>
      </c>
    </row>
    <row r="97" spans="1:48" x14ac:dyDescent="0.25">
      <c r="A97" s="21" t="s">
        <v>79</v>
      </c>
      <c r="B97" s="63">
        <v>0</v>
      </c>
      <c r="C97" s="63"/>
      <c r="D97" s="63"/>
      <c r="E97" s="63"/>
      <c r="F97" s="75">
        <f t="shared" si="104"/>
        <v>0</v>
      </c>
      <c r="H97" s="63"/>
      <c r="I97" s="63"/>
      <c r="J97" s="63"/>
      <c r="K97" s="63"/>
      <c r="L97" s="75">
        <f t="shared" si="105"/>
        <v>0</v>
      </c>
      <c r="N97" s="63"/>
      <c r="O97" s="63"/>
      <c r="P97" s="63"/>
      <c r="Q97" s="63"/>
      <c r="R97" s="75">
        <f t="shared" si="106"/>
        <v>0</v>
      </c>
      <c r="T97" s="63"/>
      <c r="U97" s="63"/>
      <c r="V97" s="63"/>
      <c r="W97" s="63"/>
      <c r="X97" s="75">
        <f t="shared" si="107"/>
        <v>0</v>
      </c>
      <c r="Y97" s="194"/>
      <c r="Z97" s="63"/>
      <c r="AA97" s="63"/>
      <c r="AB97" s="63"/>
      <c r="AC97" s="63"/>
      <c r="AD97" s="75">
        <f t="shared" si="108"/>
        <v>0</v>
      </c>
      <c r="AE97" s="194"/>
      <c r="AF97" s="63"/>
      <c r="AG97" s="63"/>
      <c r="AH97" s="63"/>
      <c r="AI97" s="63"/>
      <c r="AJ97" s="75">
        <f t="shared" si="109"/>
        <v>0</v>
      </c>
      <c r="AL97" s="63"/>
      <c r="AM97" s="63"/>
      <c r="AN97" s="63"/>
      <c r="AO97" s="63"/>
      <c r="AP97" s="75">
        <f t="shared" si="110"/>
        <v>0</v>
      </c>
      <c r="AR97" s="75">
        <f t="shared" si="111"/>
        <v>0</v>
      </c>
      <c r="AS97" s="75">
        <f t="shared" si="103"/>
        <v>0</v>
      </c>
      <c r="AT97" s="75">
        <f t="shared" si="103"/>
        <v>0</v>
      </c>
      <c r="AU97" s="75">
        <f t="shared" si="103"/>
        <v>0</v>
      </c>
      <c r="AV97" s="75">
        <f t="shared" si="112"/>
        <v>0</v>
      </c>
    </row>
    <row r="98" spans="1:48" x14ac:dyDescent="0.25">
      <c r="A98" s="21" t="s">
        <v>80</v>
      </c>
      <c r="B98" s="63">
        <f>(70000+62000+52000+40000)*1.01*1.01*1.01*1.01</f>
        <v>233095.29824</v>
      </c>
      <c r="C98" s="63"/>
      <c r="D98" s="63"/>
      <c r="E98" s="63"/>
      <c r="F98" s="75">
        <f t="shared" si="104"/>
        <v>233095.29824</v>
      </c>
      <c r="H98" s="63">
        <f>(81000+61800+51500+58500)*1.01*1.01*1.01*1.01</f>
        <v>263064.69372800004</v>
      </c>
      <c r="I98" s="63"/>
      <c r="J98" s="63"/>
      <c r="K98" s="63"/>
      <c r="L98" s="75">
        <f t="shared" si="105"/>
        <v>263064.69372800004</v>
      </c>
      <c r="N98" s="63">
        <f>((86000+44000+60000+55000)+60000)*1.01*1.01*1.01*1.01</f>
        <v>317384.22304999997</v>
      </c>
      <c r="O98" s="63"/>
      <c r="P98" s="63"/>
      <c r="Q98" s="63"/>
      <c r="R98" s="75">
        <f t="shared" si="106"/>
        <v>317384.22304999997</v>
      </c>
      <c r="T98" s="63">
        <f>52000*1.01*1.01*1.01*1.01</f>
        <v>54111.408519999997</v>
      </c>
      <c r="U98" s="63"/>
      <c r="V98" s="63"/>
      <c r="W98" s="63"/>
      <c r="X98" s="75">
        <f t="shared" si="107"/>
        <v>54111.408519999997</v>
      </c>
      <c r="Y98" s="194"/>
      <c r="Z98" s="63">
        <f>(55000+50000)*1.01*1.01*1.01</f>
        <v>108181.605</v>
      </c>
      <c r="AA98" s="63"/>
      <c r="AB98" s="63"/>
      <c r="AC98" s="63"/>
      <c r="AD98" s="75">
        <f t="shared" si="108"/>
        <v>108181.605</v>
      </c>
      <c r="AE98" s="194"/>
      <c r="AF98" s="63">
        <f>(55000+50000)*1.01*1.01</f>
        <v>107110.5</v>
      </c>
      <c r="AG98" s="63"/>
      <c r="AH98" s="63"/>
      <c r="AI98" s="63"/>
      <c r="AJ98" s="75">
        <f t="shared" si="109"/>
        <v>107110.5</v>
      </c>
      <c r="AL98" s="63">
        <f>87500*1.01*1.01*1.01*1.01</f>
        <v>91052.850874999989</v>
      </c>
      <c r="AM98" s="63"/>
      <c r="AN98" s="63"/>
      <c r="AO98" s="63"/>
      <c r="AP98" s="75">
        <f t="shared" si="110"/>
        <v>91052.850874999989</v>
      </c>
      <c r="AR98" s="75">
        <f t="shared" si="111"/>
        <v>1174000.579413</v>
      </c>
      <c r="AS98" s="75">
        <f t="shared" si="103"/>
        <v>0</v>
      </c>
      <c r="AT98" s="75">
        <f t="shared" si="103"/>
        <v>0</v>
      </c>
      <c r="AU98" s="75">
        <f t="shared" si="103"/>
        <v>0</v>
      </c>
      <c r="AV98" s="75">
        <f t="shared" si="112"/>
        <v>1174000.579413</v>
      </c>
    </row>
    <row r="99" spans="1:48" x14ac:dyDescent="0.25">
      <c r="A99" s="21" t="s">
        <v>81</v>
      </c>
      <c r="B99" s="63">
        <f>(25*8*190)*(B48+B49)+1300</f>
        <v>115300</v>
      </c>
      <c r="C99" s="63"/>
      <c r="D99" s="63"/>
      <c r="E99" s="63"/>
      <c r="F99" s="75">
        <f t="shared" si="104"/>
        <v>115300</v>
      </c>
      <c r="H99" s="63">
        <f>(25*8*190)*(H48+H49)</f>
        <v>114000</v>
      </c>
      <c r="I99" s="63"/>
      <c r="J99" s="63"/>
      <c r="K99" s="63"/>
      <c r="L99" s="75">
        <f t="shared" si="105"/>
        <v>114000</v>
      </c>
      <c r="N99" s="63">
        <f>(21.75*8*190)*(N48+N49)+(61800)*1.01*1.01*1.01*1.01</f>
        <v>295729.32781799999</v>
      </c>
      <c r="O99" s="63"/>
      <c r="P99" s="63"/>
      <c r="Q99" s="63"/>
      <c r="R99" s="75">
        <f t="shared" si="106"/>
        <v>295729.32781799999</v>
      </c>
      <c r="T99" s="63">
        <f>40000*1.01*1.01*1.01*1.01</f>
        <v>41624.160400000001</v>
      </c>
      <c r="U99" s="63"/>
      <c r="V99" s="63"/>
      <c r="W99" s="63"/>
      <c r="X99" s="75">
        <f t="shared" si="107"/>
        <v>41624.160400000001</v>
      </c>
      <c r="Y99" s="194"/>
      <c r="Z99" s="63">
        <f>(21.75*8*190)*(Z48+Z49)</f>
        <v>66120</v>
      </c>
      <c r="AA99" s="63"/>
      <c r="AB99" s="63"/>
      <c r="AC99" s="63"/>
      <c r="AD99" s="75">
        <f t="shared" si="108"/>
        <v>66120</v>
      </c>
      <c r="AE99" s="194"/>
      <c r="AF99" s="63">
        <f>(21.5*8*190)*(AF48+AF49)</f>
        <v>65360</v>
      </c>
      <c r="AG99" s="63"/>
      <c r="AH99" s="63"/>
      <c r="AI99" s="63"/>
      <c r="AJ99" s="75">
        <f t="shared" si="109"/>
        <v>65360</v>
      </c>
      <c r="AL99" s="63"/>
      <c r="AM99" s="63"/>
      <c r="AN99" s="63"/>
      <c r="AO99" s="63"/>
      <c r="AP99" s="75">
        <f t="shared" si="110"/>
        <v>0</v>
      </c>
      <c r="AR99" s="75">
        <f t="shared" si="111"/>
        <v>698133.48821800004</v>
      </c>
      <c r="AS99" s="75">
        <f t="shared" si="103"/>
        <v>0</v>
      </c>
      <c r="AT99" s="75">
        <f t="shared" si="103"/>
        <v>0</v>
      </c>
      <c r="AU99" s="75">
        <f t="shared" si="103"/>
        <v>0</v>
      </c>
      <c r="AV99" s="75">
        <f t="shared" si="112"/>
        <v>698133.48821800004</v>
      </c>
    </row>
    <row r="100" spans="1:48" x14ac:dyDescent="0.25">
      <c r="A100" s="21" t="s">
        <v>82</v>
      </c>
      <c r="B100" s="63"/>
      <c r="C100" s="63"/>
      <c r="D100" s="63"/>
      <c r="E100" s="63"/>
      <c r="F100" s="75">
        <f t="shared" si="104"/>
        <v>0</v>
      </c>
      <c r="H100" s="63"/>
      <c r="I100" s="63"/>
      <c r="J100" s="63"/>
      <c r="K100" s="63"/>
      <c r="L100" s="75">
        <f t="shared" si="105"/>
        <v>0</v>
      </c>
      <c r="N100" s="63">
        <f>50000*1.01*1.01*1.01*1.01</f>
        <v>52030.200500000006</v>
      </c>
      <c r="O100" s="63"/>
      <c r="P100" s="63"/>
      <c r="Q100" s="63"/>
      <c r="R100" s="75">
        <f t="shared" si="106"/>
        <v>52030.200500000006</v>
      </c>
      <c r="T100" s="63"/>
      <c r="U100" s="63"/>
      <c r="V100" s="63"/>
      <c r="W100" s="63"/>
      <c r="X100" s="75">
        <f t="shared" si="107"/>
        <v>0</v>
      </c>
      <c r="Y100" s="194"/>
      <c r="Z100" s="63"/>
      <c r="AA100" s="63"/>
      <c r="AB100" s="63"/>
      <c r="AC100" s="63"/>
      <c r="AD100" s="75">
        <f t="shared" si="108"/>
        <v>0</v>
      </c>
      <c r="AE100" s="194"/>
      <c r="AF100" s="63"/>
      <c r="AG100" s="63"/>
      <c r="AH100" s="63"/>
      <c r="AI100" s="63"/>
      <c r="AJ100" s="75">
        <f t="shared" si="109"/>
        <v>0</v>
      </c>
      <c r="AL100" s="63"/>
      <c r="AM100" s="63"/>
      <c r="AN100" s="63"/>
      <c r="AO100" s="63"/>
      <c r="AP100" s="75">
        <f t="shared" si="110"/>
        <v>0</v>
      </c>
      <c r="AR100" s="75">
        <f t="shared" si="111"/>
        <v>52030.200500000006</v>
      </c>
      <c r="AS100" s="75">
        <f t="shared" si="103"/>
        <v>0</v>
      </c>
      <c r="AT100" s="75">
        <f t="shared" si="103"/>
        <v>0</v>
      </c>
      <c r="AU100" s="75">
        <f t="shared" si="103"/>
        <v>0</v>
      </c>
      <c r="AV100" s="75">
        <f t="shared" si="112"/>
        <v>52030.200500000006</v>
      </c>
    </row>
    <row r="101" spans="1:48" x14ac:dyDescent="0.25">
      <c r="A101" s="21" t="s">
        <v>83</v>
      </c>
      <c r="B101" s="63">
        <f>(22*8*240)*B51</f>
        <v>168960</v>
      </c>
      <c r="C101" s="63"/>
      <c r="D101" s="63"/>
      <c r="E101" s="63"/>
      <c r="F101" s="75">
        <f t="shared" si="104"/>
        <v>168960</v>
      </c>
      <c r="H101" s="63">
        <f>(22*8*240)*H51</f>
        <v>126720</v>
      </c>
      <c r="I101" s="63"/>
      <c r="J101" s="63"/>
      <c r="K101" s="63"/>
      <c r="L101" s="75">
        <f t="shared" si="105"/>
        <v>126720</v>
      </c>
      <c r="N101" s="63">
        <f>(22*8*240)*(N51-2)+(47500+61800)*1.01*1.01*1.01*1.01</f>
        <v>578378.01829300006</v>
      </c>
      <c r="O101" s="63"/>
      <c r="P101" s="63"/>
      <c r="Q101" s="63"/>
      <c r="R101" s="75">
        <f t="shared" si="106"/>
        <v>578378.01829300006</v>
      </c>
      <c r="T101" s="63">
        <f>21*8*60+(21*5*180)</f>
        <v>28980</v>
      </c>
      <c r="U101" s="63"/>
      <c r="V101" s="63">
        <f>21*3*180</f>
        <v>11340</v>
      </c>
      <c r="W101" s="63"/>
      <c r="X101" s="75">
        <f t="shared" si="107"/>
        <v>40320</v>
      </c>
      <c r="Y101" s="194"/>
      <c r="Z101" s="63">
        <f>(22*8*240)*Z51</f>
        <v>211200</v>
      </c>
      <c r="AA101" s="63"/>
      <c r="AB101" s="63">
        <v>0</v>
      </c>
      <c r="AC101" s="63"/>
      <c r="AD101" s="75">
        <f t="shared" si="108"/>
        <v>211200</v>
      </c>
      <c r="AE101" s="194"/>
      <c r="AF101" s="63">
        <f>(23.5*8*240)*AF51</f>
        <v>135360</v>
      </c>
      <c r="AG101" s="63"/>
      <c r="AH101" s="63">
        <f>(20.5*8*185)*AH50</f>
        <v>60680</v>
      </c>
      <c r="AI101" s="63"/>
      <c r="AJ101" s="75">
        <f t="shared" si="109"/>
        <v>196040</v>
      </c>
      <c r="AL101" s="63"/>
      <c r="AM101" s="63"/>
      <c r="AN101" s="63"/>
      <c r="AO101" s="63"/>
      <c r="AP101" s="75">
        <f t="shared" si="110"/>
        <v>0</v>
      </c>
      <c r="AR101" s="75">
        <f t="shared" si="111"/>
        <v>1249598.0182930001</v>
      </c>
      <c r="AS101" s="75">
        <f t="shared" si="103"/>
        <v>0</v>
      </c>
      <c r="AT101" s="75">
        <f t="shared" si="103"/>
        <v>72020</v>
      </c>
      <c r="AU101" s="75">
        <f t="shared" si="103"/>
        <v>0</v>
      </c>
      <c r="AV101" s="75">
        <f t="shared" si="112"/>
        <v>1321618.0182930001</v>
      </c>
    </row>
    <row r="102" spans="1:48" x14ac:dyDescent="0.25">
      <c r="A102" s="21" t="s">
        <v>84</v>
      </c>
      <c r="B102" s="63"/>
      <c r="C102" s="63"/>
      <c r="D102" s="63">
        <f>(22*8*180*2)+(29.75*8*180)</f>
        <v>106200</v>
      </c>
      <c r="E102" s="63"/>
      <c r="F102" s="75">
        <f t="shared" si="104"/>
        <v>106200</v>
      </c>
      <c r="H102" s="63"/>
      <c r="I102" s="63"/>
      <c r="J102" s="63">
        <f>(22*8*180*2)+(29.5*8*180)</f>
        <v>105840</v>
      </c>
      <c r="K102" s="63"/>
      <c r="L102" s="75">
        <f t="shared" si="105"/>
        <v>105840</v>
      </c>
      <c r="N102" s="63"/>
      <c r="O102" s="63"/>
      <c r="P102" s="63">
        <f>(22*8*180*8)+(36.75*8*180)</f>
        <v>306360</v>
      </c>
      <c r="Q102" s="63"/>
      <c r="R102" s="75">
        <f t="shared" si="106"/>
        <v>306360</v>
      </c>
      <c r="T102" s="63"/>
      <c r="U102" s="63"/>
      <c r="V102" s="63"/>
      <c r="W102" s="63"/>
      <c r="X102" s="75">
        <f t="shared" si="107"/>
        <v>0</v>
      </c>
      <c r="Y102" s="194"/>
      <c r="Z102" s="63"/>
      <c r="AA102" s="63"/>
      <c r="AB102" s="63"/>
      <c r="AC102" s="63"/>
      <c r="AD102" s="75">
        <f t="shared" si="108"/>
        <v>0</v>
      </c>
      <c r="AE102" s="194"/>
      <c r="AF102" s="63"/>
      <c r="AG102" s="63"/>
      <c r="AH102" s="63"/>
      <c r="AI102" s="63"/>
      <c r="AJ102" s="75">
        <f t="shared" si="109"/>
        <v>0</v>
      </c>
      <c r="AL102" s="63"/>
      <c r="AM102" s="63"/>
      <c r="AN102" s="63">
        <f>64375*1.015*1.01*1.01*1.01</f>
        <v>67320.511278124992</v>
      </c>
      <c r="AO102" s="63"/>
      <c r="AP102" s="75">
        <f t="shared" si="110"/>
        <v>67320.511278124992</v>
      </c>
      <c r="AR102" s="75">
        <f t="shared" si="111"/>
        <v>0</v>
      </c>
      <c r="AS102" s="75">
        <f t="shared" si="103"/>
        <v>0</v>
      </c>
      <c r="AT102" s="75">
        <f t="shared" si="103"/>
        <v>585720.51127812499</v>
      </c>
      <c r="AU102" s="75">
        <f t="shared" si="103"/>
        <v>0</v>
      </c>
      <c r="AV102" s="75">
        <f t="shared" si="112"/>
        <v>585720.51127812499</v>
      </c>
    </row>
    <row r="103" spans="1:48" x14ac:dyDescent="0.25">
      <c r="A103" s="21" t="s">
        <v>85</v>
      </c>
      <c r="B103" s="63"/>
      <c r="C103" s="63"/>
      <c r="D103" s="63"/>
      <c r="E103" s="63"/>
      <c r="F103" s="75">
        <f t="shared" si="104"/>
        <v>0</v>
      </c>
      <c r="H103" s="63"/>
      <c r="I103" s="63"/>
      <c r="J103" s="63"/>
      <c r="K103" s="63"/>
      <c r="L103" s="75">
        <f t="shared" si="105"/>
        <v>0</v>
      </c>
      <c r="N103" s="63"/>
      <c r="O103" s="63"/>
      <c r="P103" s="63"/>
      <c r="Q103" s="63"/>
      <c r="R103" s="75">
        <f t="shared" si="106"/>
        <v>0</v>
      </c>
      <c r="T103" s="63"/>
      <c r="U103" s="63"/>
      <c r="V103" s="63"/>
      <c r="W103" s="63"/>
      <c r="X103" s="75">
        <f t="shared" si="107"/>
        <v>0</v>
      </c>
      <c r="Y103" s="194"/>
      <c r="Z103" s="63"/>
      <c r="AA103" s="63"/>
      <c r="AB103" s="63">
        <f>(21.75*8*190)*(AB52)</f>
        <v>66120</v>
      </c>
      <c r="AC103" s="63"/>
      <c r="AD103" s="75">
        <f t="shared" si="108"/>
        <v>66120</v>
      </c>
      <c r="AE103" s="194"/>
      <c r="AF103" s="63"/>
      <c r="AG103" s="63"/>
      <c r="AH103" s="63"/>
      <c r="AI103" s="63"/>
      <c r="AJ103" s="75">
        <f t="shared" si="109"/>
        <v>0</v>
      </c>
      <c r="AL103" s="63"/>
      <c r="AM103" s="63"/>
      <c r="AN103" s="63"/>
      <c r="AO103" s="63"/>
      <c r="AP103" s="75">
        <f t="shared" si="110"/>
        <v>0</v>
      </c>
      <c r="AR103" s="75">
        <f t="shared" si="111"/>
        <v>0</v>
      </c>
      <c r="AS103" s="75">
        <f t="shared" si="103"/>
        <v>0</v>
      </c>
      <c r="AT103" s="75">
        <f t="shared" si="103"/>
        <v>66120</v>
      </c>
      <c r="AU103" s="75">
        <f t="shared" si="103"/>
        <v>0</v>
      </c>
      <c r="AV103" s="75">
        <f t="shared" si="112"/>
        <v>66120</v>
      </c>
    </row>
    <row r="104" spans="1:48" x14ac:dyDescent="0.25">
      <c r="A104" s="21" t="s">
        <v>49</v>
      </c>
      <c r="B104" s="63"/>
      <c r="C104" s="63">
        <f>92700*1.01*1.01*1.01*1.01</f>
        <v>96463.991727000001</v>
      </c>
      <c r="D104" s="63"/>
      <c r="E104" s="63"/>
      <c r="F104" s="75">
        <f t="shared" si="104"/>
        <v>96463.991727000001</v>
      </c>
      <c r="H104" s="63"/>
      <c r="I104" s="63">
        <f>92700*1.01*1.01*1.01*1.01</f>
        <v>96463.991727000001</v>
      </c>
      <c r="J104" s="63"/>
      <c r="K104" s="63"/>
      <c r="L104" s="75">
        <f t="shared" si="105"/>
        <v>96463.991727000001</v>
      </c>
      <c r="N104" s="63"/>
      <c r="O104" s="63">
        <f>83100*1.01*1.01*1.01*1.01</f>
        <v>86474.193230999997</v>
      </c>
      <c r="P104" s="63"/>
      <c r="Q104" s="63"/>
      <c r="R104" s="75">
        <f t="shared" si="106"/>
        <v>86474.193230999997</v>
      </c>
      <c r="T104" s="63"/>
      <c r="U104" s="63"/>
      <c r="V104" s="63"/>
      <c r="W104" s="63"/>
      <c r="X104" s="75">
        <f t="shared" si="107"/>
        <v>0</v>
      </c>
      <c r="Y104" s="194"/>
      <c r="Z104" s="63"/>
      <c r="AA104" s="63"/>
      <c r="AB104" s="63"/>
      <c r="AC104" s="63"/>
      <c r="AD104" s="75">
        <f t="shared" si="108"/>
        <v>0</v>
      </c>
      <c r="AE104" s="194"/>
      <c r="AF104" s="63"/>
      <c r="AG104" s="63"/>
      <c r="AH104" s="63"/>
      <c r="AI104" s="63"/>
      <c r="AJ104" s="75">
        <f t="shared" si="109"/>
        <v>0</v>
      </c>
      <c r="AL104" s="63"/>
      <c r="AM104" s="63"/>
      <c r="AN104" s="63"/>
      <c r="AO104" s="63"/>
      <c r="AP104" s="75">
        <f t="shared" si="110"/>
        <v>0</v>
      </c>
      <c r="AR104" s="75">
        <f t="shared" si="111"/>
        <v>0</v>
      </c>
      <c r="AS104" s="75">
        <f t="shared" si="103"/>
        <v>279402.17668500001</v>
      </c>
      <c r="AT104" s="75">
        <f t="shared" si="103"/>
        <v>0</v>
      </c>
      <c r="AU104" s="75">
        <f t="shared" si="103"/>
        <v>0</v>
      </c>
      <c r="AV104" s="75">
        <f t="shared" si="112"/>
        <v>279402.17668500001</v>
      </c>
    </row>
    <row r="105" spans="1:48" x14ac:dyDescent="0.25">
      <c r="A105" s="21" t="s">
        <v>86</v>
      </c>
      <c r="B105" s="63"/>
      <c r="C105" s="63">
        <f>65000*1.01*1.01*1.01*1.01</f>
        <v>67639.260649999997</v>
      </c>
      <c r="D105" s="63"/>
      <c r="E105" s="63"/>
      <c r="F105" s="75">
        <f t="shared" si="104"/>
        <v>67639.260649999997</v>
      </c>
      <c r="H105" s="63"/>
      <c r="I105" s="63">
        <f>65000*1.01*1.01*1.01*1.01</f>
        <v>67639.260649999997</v>
      </c>
      <c r="J105" s="63"/>
      <c r="K105" s="63"/>
      <c r="L105" s="75">
        <f t="shared" si="105"/>
        <v>67639.260649999997</v>
      </c>
      <c r="N105" s="63"/>
      <c r="O105" s="63">
        <f>65000*1.01*1.01*1.01*1.01</f>
        <v>67639.260649999997</v>
      </c>
      <c r="P105" s="63"/>
      <c r="Q105" s="63"/>
      <c r="R105" s="75">
        <f t="shared" si="106"/>
        <v>67639.260649999997</v>
      </c>
      <c r="T105" s="63"/>
      <c r="U105" s="63"/>
      <c r="V105" s="63"/>
      <c r="W105" s="63"/>
      <c r="X105" s="75">
        <f t="shared" si="107"/>
        <v>0</v>
      </c>
      <c r="Y105" s="194"/>
      <c r="Z105" s="63"/>
      <c r="AA105" s="63"/>
      <c r="AB105" s="63"/>
      <c r="AC105" s="63"/>
      <c r="AD105" s="75">
        <f t="shared" si="108"/>
        <v>0</v>
      </c>
      <c r="AE105" s="194"/>
      <c r="AF105" s="63"/>
      <c r="AG105" s="63"/>
      <c r="AH105" s="63"/>
      <c r="AI105" s="63"/>
      <c r="AJ105" s="75">
        <f t="shared" si="109"/>
        <v>0</v>
      </c>
      <c r="AL105" s="63"/>
      <c r="AM105" s="63"/>
      <c r="AN105" s="63"/>
      <c r="AO105" s="63"/>
      <c r="AP105" s="75">
        <f t="shared" si="110"/>
        <v>0</v>
      </c>
      <c r="AR105" s="75">
        <f t="shared" si="111"/>
        <v>0</v>
      </c>
      <c r="AS105" s="75">
        <f t="shared" si="103"/>
        <v>202917.78194999998</v>
      </c>
      <c r="AT105" s="75">
        <f t="shared" si="103"/>
        <v>0</v>
      </c>
      <c r="AU105" s="75">
        <f t="shared" si="103"/>
        <v>0</v>
      </c>
      <c r="AV105" s="75">
        <f t="shared" si="112"/>
        <v>202917.78194999998</v>
      </c>
    </row>
    <row r="106" spans="1:48" x14ac:dyDescent="0.25">
      <c r="A106" s="21" t="s">
        <v>87</v>
      </c>
      <c r="B106" s="63"/>
      <c r="C106" s="63">
        <f>46000*1.01*1.01*1.01*1.01</f>
        <v>47867.784459999995</v>
      </c>
      <c r="D106" s="63"/>
      <c r="E106" s="63"/>
      <c r="F106" s="75">
        <f t="shared" si="104"/>
        <v>47867.784459999995</v>
      </c>
      <c r="H106" s="63"/>
      <c r="I106" s="63">
        <f>46000*1.01*1.01*1.01*1.01</f>
        <v>47867.784459999995</v>
      </c>
      <c r="J106" s="63"/>
      <c r="K106" s="63"/>
      <c r="L106" s="75">
        <f t="shared" si="105"/>
        <v>47867.784459999995</v>
      </c>
      <c r="N106" s="63"/>
      <c r="O106" s="63">
        <f>98000*1.01*1.01*1.01*1.01</f>
        <v>101979.19298000001</v>
      </c>
      <c r="P106" s="63"/>
      <c r="Q106" s="63"/>
      <c r="R106" s="75">
        <f t="shared" si="106"/>
        <v>101979.19298000001</v>
      </c>
      <c r="T106" s="63"/>
      <c r="U106" s="63"/>
      <c r="V106" s="63"/>
      <c r="W106" s="63"/>
      <c r="X106" s="75">
        <f t="shared" si="107"/>
        <v>0</v>
      </c>
      <c r="Y106" s="194"/>
      <c r="Z106" s="63"/>
      <c r="AA106" s="63"/>
      <c r="AB106" s="63"/>
      <c r="AC106" s="63"/>
      <c r="AD106" s="75">
        <f t="shared" si="108"/>
        <v>0</v>
      </c>
      <c r="AE106" s="194"/>
      <c r="AF106" s="63"/>
      <c r="AG106" s="63"/>
      <c r="AH106" s="63"/>
      <c r="AI106" s="63"/>
      <c r="AJ106" s="75">
        <f t="shared" si="109"/>
        <v>0</v>
      </c>
      <c r="AL106" s="63"/>
      <c r="AM106" s="63">
        <f>(80000+90000)*1.01*1.01*1.01*1.01</f>
        <v>176902.68170000002</v>
      </c>
      <c r="AN106" s="63"/>
      <c r="AO106" s="63"/>
      <c r="AP106" s="75">
        <f t="shared" si="110"/>
        <v>176902.68170000002</v>
      </c>
      <c r="AR106" s="75">
        <f t="shared" si="111"/>
        <v>0</v>
      </c>
      <c r="AS106" s="75">
        <f t="shared" si="103"/>
        <v>374617.4436</v>
      </c>
      <c r="AT106" s="75">
        <f t="shared" si="103"/>
        <v>0</v>
      </c>
      <c r="AU106" s="75">
        <f t="shared" si="103"/>
        <v>0</v>
      </c>
      <c r="AV106" s="75">
        <f t="shared" si="112"/>
        <v>374617.4436</v>
      </c>
    </row>
    <row r="107" spans="1:48" x14ac:dyDescent="0.25">
      <c r="A107" s="21" t="s">
        <v>53</v>
      </c>
      <c r="B107" s="63"/>
      <c r="C107" s="63"/>
      <c r="D107" s="63"/>
      <c r="E107" s="63"/>
      <c r="F107" s="75">
        <f t="shared" si="104"/>
        <v>0</v>
      </c>
      <c r="H107" s="63"/>
      <c r="I107" s="63"/>
      <c r="J107" s="63"/>
      <c r="K107" s="63"/>
      <c r="L107" s="75">
        <f t="shared" si="105"/>
        <v>0</v>
      </c>
      <c r="N107" s="63">
        <f>90700*1.01*1.01*1.01*1.01</f>
        <v>94382.78370700001</v>
      </c>
      <c r="O107" s="63"/>
      <c r="P107" s="63"/>
      <c r="Q107" s="63"/>
      <c r="R107" s="75">
        <f t="shared" si="106"/>
        <v>94382.78370700001</v>
      </c>
      <c r="T107" s="63"/>
      <c r="U107" s="63"/>
      <c r="V107" s="63"/>
      <c r="W107" s="63"/>
      <c r="X107" s="75">
        <f t="shared" si="107"/>
        <v>0</v>
      </c>
      <c r="Y107" s="194"/>
      <c r="Z107" s="63"/>
      <c r="AA107" s="63"/>
      <c r="AB107" s="63"/>
      <c r="AC107" s="63"/>
      <c r="AD107" s="75">
        <f t="shared" si="108"/>
        <v>0</v>
      </c>
      <c r="AE107" s="194"/>
      <c r="AF107" s="63"/>
      <c r="AG107" s="63"/>
      <c r="AH107" s="63"/>
      <c r="AI107" s="63"/>
      <c r="AJ107" s="75">
        <f t="shared" si="109"/>
        <v>0</v>
      </c>
      <c r="AL107" s="63"/>
      <c r="AM107" s="63"/>
      <c r="AN107" s="63"/>
      <c r="AO107" s="63"/>
      <c r="AP107" s="75">
        <f t="shared" si="110"/>
        <v>0</v>
      </c>
      <c r="AR107" s="75">
        <f t="shared" si="111"/>
        <v>94382.78370700001</v>
      </c>
      <c r="AS107" s="75">
        <f t="shared" si="103"/>
        <v>0</v>
      </c>
      <c r="AT107" s="75">
        <f t="shared" si="103"/>
        <v>0</v>
      </c>
      <c r="AU107" s="75">
        <f t="shared" si="103"/>
        <v>0</v>
      </c>
      <c r="AV107" s="75">
        <f t="shared" si="112"/>
        <v>94382.78370700001</v>
      </c>
    </row>
    <row r="108" spans="1:48" x14ac:dyDescent="0.25">
      <c r="A108" s="22" t="s">
        <v>88</v>
      </c>
      <c r="B108" s="64">
        <f>(47000*1.01*1.01*1.01*1.01)+(25*7.5*230)</f>
        <v>92033.388470000005</v>
      </c>
      <c r="C108" s="64"/>
      <c r="D108" s="64"/>
      <c r="E108" s="64"/>
      <c r="F108" s="75">
        <f t="shared" si="104"/>
        <v>92033.388470000005</v>
      </c>
      <c r="H108" s="64">
        <f>65000*1.01*1.01*1.01*1.01</f>
        <v>67639.260649999997</v>
      </c>
      <c r="I108" s="64"/>
      <c r="J108" s="64"/>
      <c r="K108" s="64"/>
      <c r="L108" s="75">
        <f t="shared" si="105"/>
        <v>67639.260649999997</v>
      </c>
      <c r="N108" s="64">
        <f>61800*1.01*1.01*1.01*1.01</f>
        <v>64309.327818000005</v>
      </c>
      <c r="O108" s="64"/>
      <c r="P108" s="64"/>
      <c r="Q108" s="64"/>
      <c r="R108" s="75">
        <f t="shared" si="106"/>
        <v>64309.327818000005</v>
      </c>
      <c r="T108" s="64"/>
      <c r="U108" s="64"/>
      <c r="V108" s="64"/>
      <c r="W108" s="64"/>
      <c r="X108" s="75">
        <f t="shared" si="107"/>
        <v>0</v>
      </c>
      <c r="Y108" s="194"/>
      <c r="Z108" s="64"/>
      <c r="AA108" s="64"/>
      <c r="AB108" s="64"/>
      <c r="AC108" s="64"/>
      <c r="AD108" s="75">
        <f t="shared" si="108"/>
        <v>0</v>
      </c>
      <c r="AE108" s="194"/>
      <c r="AF108" s="64"/>
      <c r="AG108" s="64"/>
      <c r="AH108" s="64"/>
      <c r="AI108" s="64"/>
      <c r="AJ108" s="75">
        <f t="shared" si="109"/>
        <v>0</v>
      </c>
      <c r="AL108" s="64"/>
      <c r="AM108" s="64"/>
      <c r="AN108" s="64"/>
      <c r="AO108" s="64"/>
      <c r="AP108" s="75">
        <f t="shared" si="110"/>
        <v>0</v>
      </c>
      <c r="AR108" s="75">
        <f t="shared" si="111"/>
        <v>223981.97693800001</v>
      </c>
      <c r="AS108" s="75">
        <f t="shared" si="103"/>
        <v>0</v>
      </c>
      <c r="AT108" s="75">
        <f t="shared" si="103"/>
        <v>0</v>
      </c>
      <c r="AU108" s="75">
        <f t="shared" si="103"/>
        <v>0</v>
      </c>
      <c r="AV108" s="75">
        <f t="shared" si="112"/>
        <v>223981.97693800001</v>
      </c>
    </row>
    <row r="109" spans="1:48" x14ac:dyDescent="0.25">
      <c r="A109" s="27"/>
      <c r="B109" s="76">
        <f t="shared" ref="B109:E109" si="113">SUM(B93:B108)</f>
        <v>1279981.4867602652</v>
      </c>
      <c r="C109" s="76">
        <f t="shared" si="113"/>
        <v>211971.03683699999</v>
      </c>
      <c r="D109" s="76">
        <f t="shared" si="113"/>
        <v>106200</v>
      </c>
      <c r="E109" s="76">
        <f t="shared" si="113"/>
        <v>0</v>
      </c>
      <c r="F109" s="76">
        <f t="shared" ref="F109" si="114">SUM(F93:F108)</f>
        <v>1598152.5235972651</v>
      </c>
      <c r="H109" s="76">
        <f t="shared" ref="H109:L109" si="115">SUM(H93:H108)</f>
        <v>1424864.9271394</v>
      </c>
      <c r="I109" s="76">
        <f t="shared" si="115"/>
        <v>211971.03683699999</v>
      </c>
      <c r="J109" s="76">
        <f t="shared" si="115"/>
        <v>105840</v>
      </c>
      <c r="K109" s="76">
        <f t="shared" si="115"/>
        <v>0</v>
      </c>
      <c r="L109" s="76">
        <f t="shared" si="115"/>
        <v>1742675.9639764002</v>
      </c>
      <c r="N109" s="76">
        <f t="shared" ref="N109:R109" si="116">SUM(N93:N108)</f>
        <v>2599678.5396534</v>
      </c>
      <c r="O109" s="76">
        <f t="shared" si="116"/>
        <v>256092.64686099999</v>
      </c>
      <c r="P109" s="76">
        <f t="shared" si="116"/>
        <v>306360</v>
      </c>
      <c r="Q109" s="76">
        <f t="shared" si="116"/>
        <v>0</v>
      </c>
      <c r="R109" s="76">
        <f t="shared" si="116"/>
        <v>3162131.1865143999</v>
      </c>
      <c r="T109" s="76">
        <f t="shared" ref="T109:X109" si="117">SUM(T93:T108)</f>
        <v>254791.07016999999</v>
      </c>
      <c r="U109" s="76">
        <f t="shared" si="117"/>
        <v>0</v>
      </c>
      <c r="V109" s="76">
        <f t="shared" si="117"/>
        <v>11340</v>
      </c>
      <c r="W109" s="76">
        <f t="shared" si="117"/>
        <v>0</v>
      </c>
      <c r="X109" s="76">
        <f t="shared" si="117"/>
        <v>266131.07016999996</v>
      </c>
      <c r="Y109" s="199"/>
      <c r="Z109" s="76">
        <f t="shared" ref="Z109:AD109" si="118">SUM(Z93:Z108)</f>
        <v>890111.24</v>
      </c>
      <c r="AA109" s="76">
        <f t="shared" si="118"/>
        <v>0</v>
      </c>
      <c r="AB109" s="76">
        <f t="shared" si="118"/>
        <v>66120</v>
      </c>
      <c r="AC109" s="76">
        <f t="shared" si="118"/>
        <v>0</v>
      </c>
      <c r="AD109" s="76">
        <f t="shared" si="118"/>
        <v>956231.24</v>
      </c>
      <c r="AE109" s="199"/>
      <c r="AF109" s="76">
        <f t="shared" ref="AF109:AJ109" si="119">SUM(AF93:AF108)</f>
        <v>943221.5</v>
      </c>
      <c r="AG109" s="76">
        <f t="shared" si="119"/>
        <v>0</v>
      </c>
      <c r="AH109" s="76">
        <f t="shared" si="119"/>
        <v>60680</v>
      </c>
      <c r="AI109" s="76">
        <f t="shared" si="119"/>
        <v>0</v>
      </c>
      <c r="AJ109" s="76">
        <f t="shared" si="119"/>
        <v>1003901.5</v>
      </c>
      <c r="AL109" s="76">
        <f t="shared" ref="AL109:AP109" si="120">SUM(AL93:AL108)</f>
        <v>166080.39999599999</v>
      </c>
      <c r="AM109" s="76">
        <f t="shared" si="120"/>
        <v>300162.2266845</v>
      </c>
      <c r="AN109" s="76">
        <f t="shared" si="120"/>
        <v>67320.511278124992</v>
      </c>
      <c r="AO109" s="76">
        <f t="shared" si="120"/>
        <v>200000</v>
      </c>
      <c r="AP109" s="76">
        <f t="shared" si="120"/>
        <v>733563.1379586251</v>
      </c>
      <c r="AR109" s="76">
        <f t="shared" ref="AR109:AV109" si="121">SUM(AR93:AR108)</f>
        <v>7558729.1637190664</v>
      </c>
      <c r="AS109" s="76">
        <f t="shared" si="121"/>
        <v>980196.94721949997</v>
      </c>
      <c r="AT109" s="76">
        <f t="shared" si="121"/>
        <v>723860.51127812499</v>
      </c>
      <c r="AU109" s="76">
        <f t="shared" si="121"/>
        <v>200000</v>
      </c>
      <c r="AV109" s="76">
        <f t="shared" si="121"/>
        <v>9462786.6222166922</v>
      </c>
    </row>
    <row r="110" spans="1:48" x14ac:dyDescent="0.25">
      <c r="A110" s="20" t="s">
        <v>273</v>
      </c>
      <c r="B110" s="75">
        <f>B109*0.3875</f>
        <v>495992.82611960277</v>
      </c>
      <c r="C110" s="75">
        <f t="shared" ref="C110:E110" si="122">C109*0.3875</f>
        <v>82138.776774337501</v>
      </c>
      <c r="D110" s="75">
        <f t="shared" si="122"/>
        <v>41152.5</v>
      </c>
      <c r="E110" s="75">
        <f t="shared" si="122"/>
        <v>0</v>
      </c>
      <c r="F110" s="75">
        <f>SUM(B110:E110)</f>
        <v>619284.10289394029</v>
      </c>
      <c r="H110" s="75">
        <f>H109*0.3875</f>
        <v>552135.1592665175</v>
      </c>
      <c r="I110" s="75">
        <f t="shared" ref="I110" si="123">I109*0.3875</f>
        <v>82138.776774337501</v>
      </c>
      <c r="J110" s="75">
        <f t="shared" ref="J110" si="124">J109*0.3875</f>
        <v>41013</v>
      </c>
      <c r="K110" s="75">
        <f t="shared" ref="K110" si="125">K109*0.3875</f>
        <v>0</v>
      </c>
      <c r="L110" s="75">
        <f>SUM(H110:K110)</f>
        <v>675286.93604085501</v>
      </c>
      <c r="N110" s="75">
        <f>(N109-N93)*0.3875+(N93*0.15)</f>
        <v>951582.79974203627</v>
      </c>
      <c r="O110" s="75">
        <f>O109*0.3875</f>
        <v>99235.900658637504</v>
      </c>
      <c r="P110" s="75">
        <f>P109*0.3875</f>
        <v>118714.5</v>
      </c>
      <c r="Q110" s="75">
        <f t="shared" ref="Q110" si="126">Q109*0.3725</f>
        <v>0</v>
      </c>
      <c r="R110" s="75">
        <f>SUM(N110:Q110)</f>
        <v>1169533.2004006738</v>
      </c>
      <c r="T110" s="75">
        <f>T109*0.3875</f>
        <v>98731.539690874997</v>
      </c>
      <c r="U110" s="75">
        <f t="shared" ref="U110:W110" si="127">U109*0.3875</f>
        <v>0</v>
      </c>
      <c r="V110" s="75">
        <f t="shared" si="127"/>
        <v>4394.25</v>
      </c>
      <c r="W110" s="75">
        <f t="shared" si="127"/>
        <v>0</v>
      </c>
      <c r="X110" s="75">
        <f>SUM(T110:W110)</f>
        <v>103125.789690875</v>
      </c>
      <c r="Y110" s="194"/>
      <c r="Z110" s="75">
        <f>Z109*0.3875</f>
        <v>344918.10550000001</v>
      </c>
      <c r="AA110" s="75">
        <f t="shared" ref="AA110:AB110" si="128">AA109*0.3875</f>
        <v>0</v>
      </c>
      <c r="AB110" s="75">
        <f t="shared" si="128"/>
        <v>25621.5</v>
      </c>
      <c r="AC110" s="75">
        <f t="shared" ref="AC110" si="129">AC109*0.3825</f>
        <v>0</v>
      </c>
      <c r="AD110" s="75">
        <f>SUM(Z110:AC110)</f>
        <v>370539.60550000001</v>
      </c>
      <c r="AE110" s="194"/>
      <c r="AF110" s="75">
        <f>AF109*0.3875</f>
        <v>365498.33124999999</v>
      </c>
      <c r="AG110" s="75">
        <f t="shared" ref="AG110:AH110" si="130">AG109*0.3875</f>
        <v>0</v>
      </c>
      <c r="AH110" s="75">
        <f t="shared" si="130"/>
        <v>23513.5</v>
      </c>
      <c r="AI110" s="75">
        <f t="shared" ref="AI110" si="131">AI109*0.3825</f>
        <v>0</v>
      </c>
      <c r="AJ110" s="75">
        <f>SUM(AF110:AI110)</f>
        <v>389011.83124999999</v>
      </c>
      <c r="AL110" s="60">
        <f>AL109*0.3875</f>
        <v>64356.154998450002</v>
      </c>
      <c r="AM110" s="60">
        <f t="shared" ref="AM110:AN110" si="132">AM109*0.3875</f>
        <v>116312.86284024375</v>
      </c>
      <c r="AN110" s="60">
        <f t="shared" si="132"/>
        <v>26086.698120273435</v>
      </c>
      <c r="AO110" s="60">
        <f t="shared" ref="AO110" si="133">AO109*0.3675</f>
        <v>73500</v>
      </c>
      <c r="AP110" s="75">
        <f>SUM(AL110:AO110)</f>
        <v>280255.71595896722</v>
      </c>
      <c r="AR110" s="60">
        <f>B110+H110+N110+T110+AL110+AF110+Z110</f>
        <v>2873214.9165674816</v>
      </c>
      <c r="AS110" s="60">
        <f t="shared" ref="AS110:AU115" si="134">C110+I110+O110+U110+AM110+AG110+AA110</f>
        <v>379826.31704755622</v>
      </c>
      <c r="AT110" s="60">
        <f t="shared" si="134"/>
        <v>280495.94812027342</v>
      </c>
      <c r="AU110" s="60">
        <f t="shared" si="134"/>
        <v>73500</v>
      </c>
      <c r="AV110" s="75">
        <f>SUM(AR110:AU110)</f>
        <v>3607037.1817353116</v>
      </c>
    </row>
    <row r="111" spans="1:48" x14ac:dyDescent="0.25">
      <c r="A111" s="21" t="s">
        <v>90</v>
      </c>
      <c r="B111" s="61">
        <f>(((11750*(B64*0.9))+((255*(B64*0.85))+((115*(B64*0.85))+(B65*30)+(B109*0.015)+(B109*0.03)))))</f>
        <v>294078.41690421198</v>
      </c>
      <c r="C111" s="61">
        <f>(((11750*(C64*0.9))+((255*(C64*0.875))+((115*(C64*0.85))+(C65*30)+(C109*0.015)+(C109*0.03)))))</f>
        <v>37153.384157665001</v>
      </c>
      <c r="D111" s="61">
        <f>(((11750*(D64*0.85))+((255*(D64*0.85))+((115*(D64*0.85))+(D65*30)+(D109*0.015)+(D109*0.03)))))</f>
        <v>35775</v>
      </c>
      <c r="E111" s="61">
        <f t="shared" ref="E111" si="135">(((8150*(E64*0.85))+((185*(E64*0.85))+((75*(E64*0.85))+(E65*7)+(E109*0.015)+(E109*0.03)))))</f>
        <v>0</v>
      </c>
      <c r="F111" s="75">
        <f t="shared" ref="F111:F115" si="136">SUM(B111:E111)</f>
        <v>367006.80106187699</v>
      </c>
      <c r="H111" s="61">
        <f>(((11750*(H64*0.9))+((255*(H64*0.85))+((115*(H64*0.85))+(H65*30)+(H109*0.015)+(H109*0.03)))))</f>
        <v>273284.42172127304</v>
      </c>
      <c r="I111" s="61">
        <f>(((11750*(I64*0.9))+((255*(I64*0.875))+((115*(I64*0.85))+(I65*30)+(I109*0.015)+(I109*0.03)))))</f>
        <v>37138.384157665001</v>
      </c>
      <c r="J111" s="61">
        <f>(((11750*(J64*0.85))+((255*(J64*0.85))+((115*(J64*0.85))+(J65*30)+(J109*0.015)+(J109*0.03)))))</f>
        <v>35758.799999999996</v>
      </c>
      <c r="K111" s="61">
        <f t="shared" ref="K111" si="137">(((8150*(K64*0.85))+((185*(K64*0.85))+((75*(K64*0.85))+(K65*7)+(K109*0.015)+(K109*0.03)))))</f>
        <v>0</v>
      </c>
      <c r="L111" s="75">
        <f t="shared" ref="L111:L115" si="138">SUM(H111:K111)</f>
        <v>346181.60587893805</v>
      </c>
      <c r="N111" s="61">
        <f>(((11750*(N64*0.9))+((255*(N64*0.85))+((115*(N64*0.85))+(N65*30)+(N109*0.015)+(N109*0.03)))))</f>
        <v>568255.03428440297</v>
      </c>
      <c r="O111" s="61">
        <f>(((11750*(O64*0.9))+((255*(O64*0.875))+((115*(O64*0.85))+(O65*30)+(O109*0.015)+(O109*0.03)))))</f>
        <v>45141.794108745002</v>
      </c>
      <c r="P111" s="61">
        <f>(((11750*(P64*0.85))+((255*(P64*0.85))+((115*(P64*0.85))+(P65*30)+(P109*0.015)+(P109*0.03)))))</f>
        <v>106774.2</v>
      </c>
      <c r="Q111" s="61">
        <f t="shared" ref="Q111" si="139">(((8150*(Q64*0.85))+((185*(Q64*0.85))+((75*(Q64*0.85))+(Q65*7)+(Q109*0.015)+(Q109*0.03)))))</f>
        <v>0</v>
      </c>
      <c r="R111" s="75">
        <f t="shared" ref="R111:R115" si="140">SUM(N111:Q111)</f>
        <v>720171.02839314798</v>
      </c>
      <c r="T111" s="61">
        <f>(((11750*(T64*0.85))+((255*(T64*0.85))+((115*(T64*0.85))+(T65*35)+(T109*0.015)+(T109*0.03)))))</f>
        <v>53776.098157649998</v>
      </c>
      <c r="U111" s="61">
        <v>0</v>
      </c>
      <c r="V111" s="61">
        <f t="shared" ref="V111:W111" si="141">(((11750*(V64*0.85))+((255*(V64*0.85))+((115*(V64*0.85))+(V65*35)+(V109*0.015)+(V109*0.03)))))</f>
        <v>510.29999999999995</v>
      </c>
      <c r="W111" s="61">
        <f t="shared" si="141"/>
        <v>0</v>
      </c>
      <c r="X111" s="75">
        <f t="shared" ref="X111:X115" si="142">SUM(T111:W111)</f>
        <v>54286.398157650001</v>
      </c>
      <c r="Y111" s="194"/>
      <c r="Z111" s="61">
        <f>(((11750*(Z64*0.9))+((255*(Z64*0.85))+((115*(Z64*0.85))+(Z65*30)+(Z109*0.015)+(Z109*0.03)))))</f>
        <v>194473.00579999998</v>
      </c>
      <c r="AA111" s="61">
        <f>(((11750*(AA64*0.9))+((255*(AA64*0.875))+((115*(AA64*0.85))+(AA65*30)+(AA109*0.015)+(AA109*0.03)))))</f>
        <v>360</v>
      </c>
      <c r="AB111" s="61">
        <f>(((11750*(AB64*0.85))+((255*(AB64*0.85))+((115*(AB64*0.85))+(AB65*30)+(AB109*0.015)+(AB109*0.03)))))</f>
        <v>23639.4</v>
      </c>
      <c r="AC111" s="61">
        <f t="shared" ref="AC111" si="143">(((10870*(AC64*0.85))+((225*(AC64*0.85))+((100*(AC64*0.85))+(AC65*25)+(AC109*0.015)+(AC109*0.03)))))</f>
        <v>0</v>
      </c>
      <c r="AD111" s="75">
        <f t="shared" ref="AD111:AD115" si="144">SUM(Z111:AC111)</f>
        <v>218472.40579999998</v>
      </c>
      <c r="AE111" s="194"/>
      <c r="AF111" s="61">
        <f>(((11750*(AF64*0.9))+((255*(AF64*0.85))+((115*(AF64*0.85))+(AF65*30)+(AF109*0.015)+(AF109*0.03)))))</f>
        <v>196787.9675</v>
      </c>
      <c r="AG111" s="61">
        <f>(((11750*(AG64*0.9))+((255*(AG64*0.875))+((115*(AG64*0.85))+(AG65*30)+(AG109*0.015)+(AG109*0.03)))))</f>
        <v>330</v>
      </c>
      <c r="AH111" s="61">
        <f>(((11750*(AH64*0.85))+((255*(AH64*0.85))+((115*(AH64*0.85))+(AH65*30)+(AH109*0.015)+(AH109*0.03)))))</f>
        <v>2790.6</v>
      </c>
      <c r="AI111" s="61">
        <f t="shared" ref="AI111" si="145">(((10870*(AI64*0.85))+((235*(AI64*0.85))+((100*(AI64*0.85))+(AI65*25)+(AI109*0.015)+(AI109*0.03)))))</f>
        <v>0</v>
      </c>
      <c r="AJ111" s="75">
        <f t="shared" ref="AJ111:AJ115" si="146">SUM(AF111:AI111)</f>
        <v>199908.5675</v>
      </c>
      <c r="AL111" s="61">
        <f>AL109*0.2</f>
        <v>33216.079999200003</v>
      </c>
      <c r="AM111" s="61">
        <f t="shared" ref="AM111:AN111" si="147">AM109*0.2</f>
        <v>60032.445336900004</v>
      </c>
      <c r="AN111" s="61">
        <f t="shared" si="147"/>
        <v>13464.102255624999</v>
      </c>
      <c r="AO111" s="61">
        <f>AO109*0.15</f>
        <v>30000</v>
      </c>
      <c r="AP111" s="75">
        <f t="shared" ref="AP111:AP115" si="148">SUM(AL111:AO111)</f>
        <v>136712.627591725</v>
      </c>
      <c r="AR111" s="60">
        <f t="shared" ref="AR111:AR115" si="149">B111+H111+N111+T111+AL111+AF111+Z111</f>
        <v>1613871.0243667383</v>
      </c>
      <c r="AS111" s="60">
        <f t="shared" si="134"/>
        <v>180156.00776097502</v>
      </c>
      <c r="AT111" s="60">
        <f t="shared" si="134"/>
        <v>218712.402255625</v>
      </c>
      <c r="AU111" s="60">
        <f t="shared" si="134"/>
        <v>30000</v>
      </c>
      <c r="AV111" s="75">
        <f t="shared" ref="AV111:AV115" si="150">SUM(AR111:AU111)</f>
        <v>2042739.4343833383</v>
      </c>
    </row>
    <row r="112" spans="1:48" x14ac:dyDescent="0.25">
      <c r="A112" s="21" t="s">
        <v>91</v>
      </c>
      <c r="B112" s="61">
        <f>(2500*B39)+(2000*B40)+((1500*(B42+B44+B45))+((1250*(B46+B47))+((1250*(B54+B53+B55+B56+B57+B58+B60))+((500*(B51+B49+B48))))))+(1000*5)</f>
        <v>28625</v>
      </c>
      <c r="C112" s="61">
        <f>(2500*C39)+(2000*C40)+((1500*(C42+C44+C45))+((1250*(C46+C47))+((1250*(C54+C53+C55+C56+C57+C58+C60))+((500*(C51+C49+C48))))))+(1000*2)</f>
        <v>5125</v>
      </c>
      <c r="D112" s="61">
        <f>(2500*D39)+(2000*D40)+((1500*(D42+D44+D45))+((1250*(D46+D47))+((1250*(D54+D53+D55+D56+D57+D58+D60))+((500*(D52))))))+(1000*1)</f>
        <v>2500</v>
      </c>
      <c r="E112" s="61">
        <f>(2500*E39)+(2000*E40)+((1500*(E42+E44+E45))+((1250*(E46+E47))+((1250*(E54+E53+E55+E56+E57+E58+E60))+((500*(E51+E49+E48))))))</f>
        <v>0</v>
      </c>
      <c r="F112" s="75">
        <f t="shared" si="136"/>
        <v>36250</v>
      </c>
      <c r="H112" s="61">
        <f>(2500*H39)+(2000*H40)+((1500*(H42+H44+H45))+((1250*(H46+H47))+((1250*(H54+H53+H55+H56+H57+H58+H60))+((500*(H51+H49+H48))))))+(1000*5)</f>
        <v>28000</v>
      </c>
      <c r="I112" s="61">
        <f>(2500*I39)+(2000*I40)+((1500*(I42+I44+I45))+((1250*(I46+I47))+((1250*(I54+I53+I55+I56+I57+I58+I60))+((500*(I51+I49+I48))))))+(1000*2)</f>
        <v>5125</v>
      </c>
      <c r="J112" s="61">
        <f>(2500*J39)+(2000*J40)+((1500*(J42+J44+J45))+((1250*(J46+J47))+((1250*(J54+J53+J55+J56+J57+J58+J60))+((500*(J52))))))+(1000*1)</f>
        <v>2500</v>
      </c>
      <c r="K112" s="61">
        <f>(2500*K39)+(2000*K40)+((1500*(K42+K44+K45))+((1250*(K46+K47))+((1250*(K54+K53+K55+K56+K57+K58+K60))+((500*(K51+K49+K48))))))</f>
        <v>0</v>
      </c>
      <c r="L112" s="75">
        <f t="shared" si="138"/>
        <v>35625</v>
      </c>
      <c r="N112" s="61">
        <f>(2500*N39)+(2000*N40)+((1500*(N42+N44+N45))+((1250*(N46+N47))+((1250*(N54+N53+N55+N56+N57+N58+N60))+((500*(N51+N49+N48))))))+(1000*5)</f>
        <v>43750</v>
      </c>
      <c r="O112" s="61">
        <f>(2500*O39)+(2000*O40)+((1500*(O42+O44+O45))+((1250*(O46+O47))+((1250*(O54+O53+O55+O56+O57+O58+O60))+((500*(O51+O49+O48))))))+(1000*2)</f>
        <v>5750</v>
      </c>
      <c r="P112" s="61">
        <f>(2500*P39)+(2000*P40)+((1500*(P42+P44+P45))+((1250*(P46+P47))+((1250*(P54+P53+P55+P56+P57+P58+P60))+((500*(P52))))))+(1000*1)</f>
        <v>5500</v>
      </c>
      <c r="Q112" s="61">
        <f>(2500*Q39)+(2000*Q40)+((1500*(Q42+Q44+Q45))+((1250*(Q46+Q47))+((1250*(Q54+Q53+Q55+Q56+Q57+Q58+Q60))+((500*(Q51+Q49+Q48))))))</f>
        <v>0</v>
      </c>
      <c r="R112" s="75">
        <f t="shared" si="140"/>
        <v>55000</v>
      </c>
      <c r="T112" s="61">
        <f>(2500*T39)+(2000*T40)+((1500*(T42+T44+T45))+((1250*(T46+T47))+((1250*(T54+T53+T55+T56+T57+T58+T60))+((500*(T51+T49+T48))))))+(1000*1)</f>
        <v>5750</v>
      </c>
      <c r="U112" s="61">
        <f>(2500*U39)+(2000*U40)+((1500*(U42+U44+U45))+((1250*(U46+U47))+((1250*(U54+U53+U55+U56+U57+U58+U60))+((500*(U51+U49+U48))))))</f>
        <v>0</v>
      </c>
      <c r="V112" s="61">
        <f t="shared" ref="V112:W112" si="151">(2500*V39)+(2000*V40)+((1500*(V42+V44+V45))+((1250*(V46+V47))+((1250*(V54+V53+V55+V56+V57+V58+V60))+((500*(V51+V49+V48))))))</f>
        <v>0</v>
      </c>
      <c r="W112" s="61">
        <f t="shared" si="151"/>
        <v>0</v>
      </c>
      <c r="X112" s="75">
        <f t="shared" si="142"/>
        <v>5750</v>
      </c>
      <c r="Y112" s="194"/>
      <c r="Z112" s="61">
        <f>((2500*Z39)+(2000*Z40)+((1500*(Z42+Z44+Z45))+((1250*(Z46+Z47))+((1250*(Z54+Z53+Z55+Z56+Z57+Z58+Z60))+((500*(Z51+Z49+Z48))))))+(1000*3))</f>
        <v>18500</v>
      </c>
      <c r="AA112" s="61">
        <f>(2500*AA39)+(2000*AA40)+((1500*(AA42+AA44+AA45))+((1250*(AA46+AA47))+((1250*(AA54+AA53+AA55+AA56+AA57+AA58+AA60))+((500*(AA51+AA49+AA48))))))</f>
        <v>0</v>
      </c>
      <c r="AB112" s="61">
        <f t="shared" ref="AB112:AC112" si="152">(2500*AB39)+(2000*AB40)+((1500*(AB42+AB44+AB45))+((1250*(AB46+AB47))+((1250*(AB54+AB53+AB55+AB56+AB57+AB58+AB60))+((500*(AB51+AB49+AB48))))))</f>
        <v>0</v>
      </c>
      <c r="AC112" s="61">
        <f t="shared" si="152"/>
        <v>0</v>
      </c>
      <c r="AD112" s="75">
        <f t="shared" si="144"/>
        <v>18500</v>
      </c>
      <c r="AE112" s="194"/>
      <c r="AF112" s="61">
        <f>(2500*AF39)+(2000*AF40)+((1500*(AF42+AF44+AF45))+((1250*(AF46+AF47))+((1250*(AF54+AF53+AF55+AF56+AF57+AF58+AF60))+((500*(AF51+AF49+AF48))))))+(1000*5)</f>
        <v>23000</v>
      </c>
      <c r="AG112" s="61">
        <f>(2500*AG39)+(2000*AG40)+((1500*(AG42+AG44+AG45))+((1250*(AG46+AG47))+((1250*(AG54+AG53+AG55+AG56+AG57+AG58+AG60))+((500*(AG51+AG49+AG48))))))+(1000*2)</f>
        <v>2000</v>
      </c>
      <c r="AH112" s="61">
        <f>(2500*AH39)+(2000*AH40)+((1500*(AH42+AH44+AH45))+((1250*(AH46+AH47))+((1250*(AH54+AH53+AH55+AH56+AH57+AH58+AH60))+((500*(AH52))))))+(1000*1)</f>
        <v>1000</v>
      </c>
      <c r="AI112" s="61">
        <f>(2500*AI39)+(2000*AI40)+((1500*(AI42+AI44+AI45))+((1250*(AI46+AI47))+((1250*(AI54+AI53+AI55+AI56+AI57+AI58+AI60))+((500*(AI51+AI49+AI48))))))</f>
        <v>0</v>
      </c>
      <c r="AJ112" s="75">
        <f t="shared" si="146"/>
        <v>26000</v>
      </c>
      <c r="AL112" s="61">
        <f>(2500*AL39)+(2000*AL40)+((1500*(AL42+AL44+AL45))+((1250*(AL46+AL47))+((1250*(AL54+AL53+AL55+AL56+AL57+AL58+AL60))+((500*(AL51+AL49+AL48))))))</f>
        <v>2750</v>
      </c>
      <c r="AM112" s="61">
        <f>(2500*AM39)+(2000*AM40)+((1500*(AM42+AM44+AM45))+((1250*(AM46+AM47))+((1250*(AM54+AM53+AM55+AM56+AM57+AM58+AM60))+((500*(AM51+AM49+AM48))))))</f>
        <v>4500</v>
      </c>
      <c r="AN112" s="61">
        <f>(2500*AN39)+(2000*AN40)+((1500*(AN42+AN44+AN45))+((1250*(AN46+AN47))+((1250*(AN54+AN53+AN55+AN56+AN57+AN58+AN60))+((500*(AN52))))))+(1000*1)</f>
        <v>1500</v>
      </c>
      <c r="AO112" s="61">
        <f>(2500*AO39)+(2000*AO40)+((1500*(AO42+AO44+AO45))+((1250*(AO46+AO47))+((1250*(AO54+AO53+AO55+AO56+AO57+AO58+AO60))+((500*(AO51+AO49+AO48))))))</f>
        <v>3000</v>
      </c>
      <c r="AP112" s="75">
        <f t="shared" si="148"/>
        <v>11750</v>
      </c>
      <c r="AR112" s="60">
        <f t="shared" si="149"/>
        <v>150375</v>
      </c>
      <c r="AS112" s="60">
        <f t="shared" si="134"/>
        <v>22500</v>
      </c>
      <c r="AT112" s="60">
        <f t="shared" si="134"/>
        <v>13000</v>
      </c>
      <c r="AU112" s="60">
        <f t="shared" si="134"/>
        <v>3000</v>
      </c>
      <c r="AV112" s="75">
        <f t="shared" si="150"/>
        <v>188875</v>
      </c>
    </row>
    <row r="113" spans="1:48" x14ac:dyDescent="0.25">
      <c r="A113" s="21" t="s">
        <v>92</v>
      </c>
      <c r="B113" s="61">
        <f>250*B64</f>
        <v>5375</v>
      </c>
      <c r="C113" s="61">
        <f t="shared" ref="C113:E113" si="153">250*C64</f>
        <v>625</v>
      </c>
      <c r="D113" s="61">
        <f t="shared" si="153"/>
        <v>750</v>
      </c>
      <c r="E113" s="61">
        <f t="shared" si="153"/>
        <v>0</v>
      </c>
      <c r="F113" s="75">
        <f t="shared" si="136"/>
        <v>6750</v>
      </c>
      <c r="H113" s="61">
        <f>250*H64</f>
        <v>4750</v>
      </c>
      <c r="I113" s="61">
        <f t="shared" ref="I113:K113" si="154">250*I64</f>
        <v>625</v>
      </c>
      <c r="J113" s="61">
        <f t="shared" si="154"/>
        <v>750</v>
      </c>
      <c r="K113" s="61">
        <f t="shared" si="154"/>
        <v>0</v>
      </c>
      <c r="L113" s="75">
        <f t="shared" si="138"/>
        <v>6125</v>
      </c>
      <c r="N113" s="61">
        <f>250*N64</f>
        <v>10250</v>
      </c>
      <c r="O113" s="61">
        <f t="shared" ref="O113:Q113" si="155">250*O64</f>
        <v>750</v>
      </c>
      <c r="P113" s="61">
        <f t="shared" si="155"/>
        <v>2250</v>
      </c>
      <c r="Q113" s="61">
        <f t="shared" si="155"/>
        <v>0</v>
      </c>
      <c r="R113" s="75">
        <f t="shared" si="140"/>
        <v>13250</v>
      </c>
      <c r="T113" s="61">
        <f>250*T64</f>
        <v>1000</v>
      </c>
      <c r="U113" s="61">
        <f t="shared" ref="U113:W113" si="156">250*U64</f>
        <v>0</v>
      </c>
      <c r="V113" s="61">
        <f t="shared" si="156"/>
        <v>0</v>
      </c>
      <c r="W113" s="61">
        <f t="shared" si="156"/>
        <v>0</v>
      </c>
      <c r="X113" s="75">
        <f t="shared" si="142"/>
        <v>1000</v>
      </c>
      <c r="Y113" s="194"/>
      <c r="Z113" s="61">
        <f>250*Z64</f>
        <v>3500</v>
      </c>
      <c r="AA113" s="61">
        <f t="shared" ref="AA113:AC113" si="157">250*AA64</f>
        <v>0</v>
      </c>
      <c r="AB113" s="61">
        <f t="shared" si="157"/>
        <v>500</v>
      </c>
      <c r="AC113" s="61">
        <f t="shared" si="157"/>
        <v>0</v>
      </c>
      <c r="AD113" s="75">
        <f t="shared" si="144"/>
        <v>4000</v>
      </c>
      <c r="AE113" s="194"/>
      <c r="AF113" s="61">
        <f>250*AF64</f>
        <v>3500</v>
      </c>
      <c r="AG113" s="61">
        <f t="shared" ref="AG113:AI113" si="158">250*AG64</f>
        <v>0</v>
      </c>
      <c r="AH113" s="61">
        <f t="shared" si="158"/>
        <v>0</v>
      </c>
      <c r="AI113" s="61">
        <f t="shared" si="158"/>
        <v>0</v>
      </c>
      <c r="AJ113" s="75">
        <f t="shared" si="146"/>
        <v>3500</v>
      </c>
      <c r="AL113" s="61">
        <f>250*AL64</f>
        <v>500</v>
      </c>
      <c r="AM113" s="61">
        <f t="shared" ref="AM113:AO113" si="159">250*AM64</f>
        <v>750</v>
      </c>
      <c r="AN113" s="61">
        <f t="shared" si="159"/>
        <v>250</v>
      </c>
      <c r="AO113" s="61">
        <f t="shared" si="159"/>
        <v>500</v>
      </c>
      <c r="AP113" s="75">
        <f t="shared" si="148"/>
        <v>2000</v>
      </c>
      <c r="AR113" s="60">
        <f t="shared" si="149"/>
        <v>28875</v>
      </c>
      <c r="AS113" s="60">
        <f t="shared" si="134"/>
        <v>2750</v>
      </c>
      <c r="AT113" s="60">
        <f t="shared" si="134"/>
        <v>4500</v>
      </c>
      <c r="AU113" s="60">
        <f t="shared" si="134"/>
        <v>500</v>
      </c>
      <c r="AV113" s="75">
        <f t="shared" si="150"/>
        <v>36625</v>
      </c>
    </row>
    <row r="114" spans="1:48" x14ac:dyDescent="0.25">
      <c r="A114" s="21" t="s">
        <v>93</v>
      </c>
      <c r="B114" s="63"/>
      <c r="C114" s="63"/>
      <c r="D114" s="63"/>
      <c r="E114" s="63"/>
      <c r="F114" s="75">
        <f t="shared" si="136"/>
        <v>0</v>
      </c>
      <c r="H114" s="63"/>
      <c r="I114" s="63"/>
      <c r="J114" s="63"/>
      <c r="K114" s="63"/>
      <c r="L114" s="75">
        <f t="shared" si="138"/>
        <v>0</v>
      </c>
      <c r="N114" s="63"/>
      <c r="O114" s="63"/>
      <c r="P114" s="63"/>
      <c r="Q114" s="63"/>
      <c r="R114" s="75">
        <f t="shared" si="140"/>
        <v>0</v>
      </c>
      <c r="T114" s="63"/>
      <c r="U114" s="63"/>
      <c r="V114" s="63"/>
      <c r="W114" s="63"/>
      <c r="X114" s="75">
        <f t="shared" si="142"/>
        <v>0</v>
      </c>
      <c r="Y114" s="194"/>
      <c r="Z114" s="63"/>
      <c r="AA114" s="63"/>
      <c r="AB114" s="63"/>
      <c r="AC114" s="63"/>
      <c r="AD114" s="75">
        <f t="shared" si="144"/>
        <v>0</v>
      </c>
      <c r="AE114" s="194"/>
      <c r="AF114" s="63"/>
      <c r="AG114" s="63"/>
      <c r="AH114" s="63"/>
      <c r="AI114" s="63"/>
      <c r="AJ114" s="75">
        <f t="shared" si="146"/>
        <v>0</v>
      </c>
      <c r="AL114" s="61">
        <v>0</v>
      </c>
      <c r="AM114" s="61"/>
      <c r="AN114" s="61"/>
      <c r="AO114" s="61"/>
      <c r="AP114" s="75">
        <f t="shared" si="148"/>
        <v>0</v>
      </c>
      <c r="AR114" s="60">
        <f t="shared" si="149"/>
        <v>0</v>
      </c>
      <c r="AS114" s="60">
        <f t="shared" si="134"/>
        <v>0</v>
      </c>
      <c r="AT114" s="60">
        <f t="shared" si="134"/>
        <v>0</v>
      </c>
      <c r="AU114" s="60">
        <f t="shared" si="134"/>
        <v>0</v>
      </c>
      <c r="AV114" s="75">
        <f t="shared" si="150"/>
        <v>0</v>
      </c>
    </row>
    <row r="115" spans="1:48" x14ac:dyDescent="0.25">
      <c r="A115" s="22" t="s">
        <v>94</v>
      </c>
      <c r="B115" s="64">
        <v>1500</v>
      </c>
      <c r="C115" s="64"/>
      <c r="D115" s="64"/>
      <c r="E115" s="64"/>
      <c r="F115" s="75">
        <f t="shared" si="136"/>
        <v>1500</v>
      </c>
      <c r="H115" s="64">
        <v>1500</v>
      </c>
      <c r="I115" s="64"/>
      <c r="J115" s="64"/>
      <c r="K115" s="64"/>
      <c r="L115" s="75">
        <f t="shared" si="138"/>
        <v>1500</v>
      </c>
      <c r="N115" s="64">
        <v>5000</v>
      </c>
      <c r="O115" s="64"/>
      <c r="P115" s="64"/>
      <c r="Q115" s="64"/>
      <c r="R115" s="75">
        <f t="shared" si="140"/>
        <v>5000</v>
      </c>
      <c r="T115" s="64">
        <v>2500</v>
      </c>
      <c r="U115" s="64"/>
      <c r="V115" s="64"/>
      <c r="W115" s="64"/>
      <c r="X115" s="75">
        <f t="shared" si="142"/>
        <v>2500</v>
      </c>
      <c r="Y115" s="194"/>
      <c r="Z115" s="64">
        <v>2500</v>
      </c>
      <c r="AA115" s="64"/>
      <c r="AB115" s="64"/>
      <c r="AC115" s="64"/>
      <c r="AD115" s="75">
        <f t="shared" si="144"/>
        <v>2500</v>
      </c>
      <c r="AE115" s="194"/>
      <c r="AF115" s="64">
        <v>2000</v>
      </c>
      <c r="AG115" s="64"/>
      <c r="AH115" s="64"/>
      <c r="AI115" s="64"/>
      <c r="AJ115" s="75">
        <f t="shared" si="146"/>
        <v>2000</v>
      </c>
      <c r="AL115" s="91"/>
      <c r="AM115" s="91"/>
      <c r="AN115" s="91"/>
      <c r="AO115" s="91"/>
      <c r="AP115" s="75">
        <f t="shared" si="148"/>
        <v>0</v>
      </c>
      <c r="AR115" s="60">
        <f t="shared" si="149"/>
        <v>15000</v>
      </c>
      <c r="AS115" s="60">
        <f t="shared" si="134"/>
        <v>0</v>
      </c>
      <c r="AT115" s="60">
        <f t="shared" si="134"/>
        <v>0</v>
      </c>
      <c r="AU115" s="60">
        <f t="shared" si="134"/>
        <v>0</v>
      </c>
      <c r="AV115" s="75">
        <f t="shared" si="150"/>
        <v>15000</v>
      </c>
    </row>
    <row r="116" spans="1:48" x14ac:dyDescent="0.25">
      <c r="A116" s="27"/>
      <c r="B116" s="76">
        <f>SUM(B110:B115)</f>
        <v>825571.24302381475</v>
      </c>
      <c r="C116" s="76">
        <f t="shared" ref="C116:F116" si="160">SUM(C110:C115)</f>
        <v>125042.1609320025</v>
      </c>
      <c r="D116" s="76">
        <f t="shared" si="160"/>
        <v>80177.5</v>
      </c>
      <c r="E116" s="76">
        <f t="shared" si="160"/>
        <v>0</v>
      </c>
      <c r="F116" s="76">
        <f t="shared" si="160"/>
        <v>1030790.9039558172</v>
      </c>
      <c r="H116" s="76">
        <f>SUM(H110:H115)</f>
        <v>859669.5809877906</v>
      </c>
      <c r="I116" s="76">
        <f t="shared" ref="I116:L116" si="161">SUM(I110:I115)</f>
        <v>125027.1609320025</v>
      </c>
      <c r="J116" s="76">
        <f t="shared" si="161"/>
        <v>80021.799999999988</v>
      </c>
      <c r="K116" s="76">
        <f t="shared" si="161"/>
        <v>0</v>
      </c>
      <c r="L116" s="76">
        <f t="shared" si="161"/>
        <v>1064718.541919793</v>
      </c>
      <c r="N116" s="76">
        <f>SUM(N110:N115)</f>
        <v>1578837.8340264391</v>
      </c>
      <c r="O116" s="76">
        <f t="shared" ref="O116:R116" si="162">SUM(O110:O115)</f>
        <v>150877.69476738252</v>
      </c>
      <c r="P116" s="76">
        <f t="shared" si="162"/>
        <v>233238.7</v>
      </c>
      <c r="Q116" s="76">
        <f t="shared" si="162"/>
        <v>0</v>
      </c>
      <c r="R116" s="76">
        <f t="shared" si="162"/>
        <v>1962954.2287938218</v>
      </c>
      <c r="T116" s="76">
        <f>SUM(T110:T115)</f>
        <v>161757.63784852499</v>
      </c>
      <c r="U116" s="76">
        <f t="shared" ref="U116:X116" si="163">SUM(U110:U115)</f>
        <v>0</v>
      </c>
      <c r="V116" s="76">
        <f t="shared" si="163"/>
        <v>4904.55</v>
      </c>
      <c r="W116" s="76">
        <f t="shared" si="163"/>
        <v>0</v>
      </c>
      <c r="X116" s="76">
        <f t="shared" si="163"/>
        <v>166662.18784852501</v>
      </c>
      <c r="Y116" s="199"/>
      <c r="Z116" s="76">
        <f>SUM(Z110:Z115)</f>
        <v>563891.11129999999</v>
      </c>
      <c r="AA116" s="76">
        <f t="shared" ref="AA116:AD116" si="164">SUM(AA110:AA115)</f>
        <v>360</v>
      </c>
      <c r="AB116" s="76">
        <f t="shared" si="164"/>
        <v>49760.9</v>
      </c>
      <c r="AC116" s="76">
        <f t="shared" si="164"/>
        <v>0</v>
      </c>
      <c r="AD116" s="76">
        <f t="shared" si="164"/>
        <v>614012.01130000001</v>
      </c>
      <c r="AE116" s="199"/>
      <c r="AF116" s="76">
        <f>SUM(AF110:AF115)</f>
        <v>590786.29874999996</v>
      </c>
      <c r="AG116" s="76">
        <f t="shared" ref="AG116:AJ116" si="165">SUM(AG110:AG115)</f>
        <v>2330</v>
      </c>
      <c r="AH116" s="76">
        <f t="shared" si="165"/>
        <v>27304.1</v>
      </c>
      <c r="AI116" s="76">
        <f t="shared" si="165"/>
        <v>0</v>
      </c>
      <c r="AJ116" s="76">
        <f t="shared" si="165"/>
        <v>620420.39874999993</v>
      </c>
      <c r="AL116" s="76">
        <f>SUM(AL110:AL115)</f>
        <v>100822.23499765</v>
      </c>
      <c r="AM116" s="76">
        <f t="shared" ref="AM116:AP116" si="166">SUM(AM110:AM115)</f>
        <v>181595.30817714374</v>
      </c>
      <c r="AN116" s="76">
        <f t="shared" si="166"/>
        <v>41300.800375898434</v>
      </c>
      <c r="AO116" s="76">
        <f t="shared" si="166"/>
        <v>107000</v>
      </c>
      <c r="AP116" s="76">
        <f t="shared" si="166"/>
        <v>430718.3435506922</v>
      </c>
      <c r="AR116" s="76">
        <f>SUM(AR110:AR115)</f>
        <v>4681335.9409342203</v>
      </c>
      <c r="AS116" s="76">
        <f t="shared" ref="AS116:AV116" si="167">SUM(AS110:AS115)</f>
        <v>585232.32480853121</v>
      </c>
      <c r="AT116" s="76">
        <f t="shared" si="167"/>
        <v>516708.35037589842</v>
      </c>
      <c r="AU116" s="76">
        <f t="shared" si="167"/>
        <v>107000</v>
      </c>
      <c r="AV116" s="76">
        <f t="shared" si="167"/>
        <v>5890276.61611865</v>
      </c>
    </row>
    <row r="117" spans="1:48" x14ac:dyDescent="0.25">
      <c r="B117" s="77"/>
      <c r="C117" s="77"/>
      <c r="D117" s="77"/>
      <c r="E117" s="77"/>
      <c r="F117" s="77"/>
      <c r="H117" s="77"/>
      <c r="I117" s="77"/>
      <c r="J117" s="77"/>
      <c r="K117" s="77"/>
      <c r="L117" s="77"/>
      <c r="N117" s="77"/>
      <c r="O117" s="77"/>
      <c r="P117" s="77"/>
      <c r="Q117" s="77"/>
      <c r="R117" s="77"/>
      <c r="T117" s="77"/>
      <c r="U117" s="77"/>
      <c r="V117" s="77"/>
      <c r="W117" s="77"/>
      <c r="X117" s="77"/>
      <c r="Y117" s="79"/>
      <c r="Z117" s="77"/>
      <c r="AA117" s="77"/>
      <c r="AB117" s="77"/>
      <c r="AC117" s="77"/>
      <c r="AD117" s="77"/>
      <c r="AE117" s="79"/>
      <c r="AF117" s="77"/>
      <c r="AG117" s="77"/>
      <c r="AH117" s="77"/>
      <c r="AI117" s="77"/>
      <c r="AJ117" s="77"/>
      <c r="AL117" s="57"/>
      <c r="AM117" s="57"/>
      <c r="AN117" s="57"/>
      <c r="AO117" s="57"/>
      <c r="AP117" s="77"/>
      <c r="AR117" s="57"/>
      <c r="AS117" s="57"/>
      <c r="AT117" s="57"/>
      <c r="AU117" s="57"/>
      <c r="AV117" s="77"/>
    </row>
    <row r="118" spans="1:48" x14ac:dyDescent="0.25">
      <c r="A118" s="28"/>
      <c r="B118" s="78" t="s">
        <v>157</v>
      </c>
      <c r="C118" s="78" t="s">
        <v>158</v>
      </c>
      <c r="D118" s="78" t="s">
        <v>159</v>
      </c>
      <c r="E118" s="78" t="str">
        <f>E91</f>
        <v>Other</v>
      </c>
      <c r="F118" s="78" t="str">
        <f>F91</f>
        <v>FY30- Mtn</v>
      </c>
      <c r="H118" s="78" t="s">
        <v>157</v>
      </c>
      <c r="I118" s="78" t="s">
        <v>158</v>
      </c>
      <c r="J118" s="78" t="s">
        <v>159</v>
      </c>
      <c r="K118" s="78" t="str">
        <f>K91</f>
        <v>Other</v>
      </c>
      <c r="L118" s="78" t="str">
        <f>L91</f>
        <v>FY30- Bon</v>
      </c>
      <c r="N118" s="78" t="s">
        <v>157</v>
      </c>
      <c r="O118" s="78" t="s">
        <v>158</v>
      </c>
      <c r="P118" s="78" t="s">
        <v>159</v>
      </c>
      <c r="Q118" s="78" t="str">
        <f>Q91</f>
        <v>Other</v>
      </c>
      <c r="R118" s="78" t="str">
        <f>R91</f>
        <v>FY30- East</v>
      </c>
      <c r="T118" s="78" t="s">
        <v>157</v>
      </c>
      <c r="U118" s="78" t="s">
        <v>158</v>
      </c>
      <c r="V118" s="78" t="s">
        <v>159</v>
      </c>
      <c r="W118" s="78" t="str">
        <f>W91</f>
        <v>Other</v>
      </c>
      <c r="X118" s="78" t="str">
        <f>X91</f>
        <v>FY30- Cactus</v>
      </c>
      <c r="Y118" s="201"/>
      <c r="Z118" s="78" t="s">
        <v>157</v>
      </c>
      <c r="AA118" s="78" t="s">
        <v>158</v>
      </c>
      <c r="AB118" s="78" t="s">
        <v>159</v>
      </c>
      <c r="AC118" s="78" t="str">
        <f>AC91</f>
        <v>Other</v>
      </c>
      <c r="AD118" s="78" t="str">
        <f>AD91</f>
        <v>FY30- Sahara</v>
      </c>
      <c r="AE118" s="201"/>
      <c r="AF118" s="78" t="s">
        <v>157</v>
      </c>
      <c r="AG118" s="78" t="s">
        <v>158</v>
      </c>
      <c r="AH118" s="78" t="s">
        <v>159</v>
      </c>
      <c r="AI118" s="78" t="str">
        <f>AI91</f>
        <v>Other</v>
      </c>
      <c r="AJ118" s="78" t="str">
        <f>AJ91</f>
        <v>FY30- VV</v>
      </c>
      <c r="AL118" s="78" t="s">
        <v>157</v>
      </c>
      <c r="AM118" s="78" t="s">
        <v>158</v>
      </c>
      <c r="AN118" s="78" t="s">
        <v>159</v>
      </c>
      <c r="AO118" s="78" t="str">
        <f>AO91</f>
        <v>Grant</v>
      </c>
      <c r="AP118" s="78" t="str">
        <f>AP91</f>
        <v>FY30 - Central</v>
      </c>
      <c r="AR118" s="78" t="s">
        <v>157</v>
      </c>
      <c r="AS118" s="78" t="s">
        <v>158</v>
      </c>
      <c r="AT118" s="78" t="s">
        <v>159</v>
      </c>
      <c r="AU118" s="78" t="str">
        <f>AU91</f>
        <v>Other</v>
      </c>
      <c r="AV118" s="78" t="str">
        <f>AV91</f>
        <v>FY29- Sys</v>
      </c>
    </row>
    <row r="119" spans="1:48" x14ac:dyDescent="0.25">
      <c r="A119" s="20" t="s">
        <v>95</v>
      </c>
      <c r="B119" s="75">
        <f>(77250+77250)*1.01*1.01*1.01*1.01</f>
        <v>160773.31954500001</v>
      </c>
      <c r="C119" s="75"/>
      <c r="D119" s="75"/>
      <c r="E119" s="75"/>
      <c r="F119" s="75">
        <f>SUM(B119:E119)</f>
        <v>160773.31954500001</v>
      </c>
      <c r="H119" s="75">
        <f>(75000+26000)*1.01*1.01*1.01*1.01</f>
        <v>105101.00501000001</v>
      </c>
      <c r="I119" s="75"/>
      <c r="J119" s="75"/>
      <c r="K119" s="75"/>
      <c r="L119" s="75">
        <f>SUM(H119:K119)</f>
        <v>105101.00501000001</v>
      </c>
      <c r="N119" s="75">
        <f>(80350+77000+87850+72100)*1.01*1.01*1.01*1.01</f>
        <v>330183.65237299999</v>
      </c>
      <c r="O119" s="75"/>
      <c r="P119" s="75"/>
      <c r="Q119" s="75"/>
      <c r="R119" s="75">
        <f>SUM(N119:Q119)</f>
        <v>330183.65237299999</v>
      </c>
      <c r="T119" s="75">
        <f>80000*1.01*1.01*1.01*1.01</f>
        <v>83248.320800000001</v>
      </c>
      <c r="U119" s="75"/>
      <c r="V119" s="75"/>
      <c r="W119" s="75"/>
      <c r="X119" s="75">
        <f>SUM(T119:W119)</f>
        <v>83248.320800000001</v>
      </c>
      <c r="Y119" s="194"/>
      <c r="Z119" s="75">
        <f>(80000*Z43)*1.01*1.01*1.01</f>
        <v>164848.16</v>
      </c>
      <c r="AA119" s="75"/>
      <c r="AB119" s="75"/>
      <c r="AC119" s="75"/>
      <c r="AD119" s="75">
        <f>SUM(Z119:AC119)</f>
        <v>164848.16</v>
      </c>
      <c r="AE119" s="194"/>
      <c r="AF119" s="75">
        <f>(82500*AF43)</f>
        <v>82500</v>
      </c>
      <c r="AG119" s="75"/>
      <c r="AH119" s="75"/>
      <c r="AI119" s="75"/>
      <c r="AJ119" s="75">
        <f>SUM(AF119:AI119)</f>
        <v>82500</v>
      </c>
      <c r="AL119" s="75"/>
      <c r="AM119" s="75"/>
      <c r="AN119" s="75"/>
      <c r="AO119" s="75">
        <v>300000</v>
      </c>
      <c r="AP119" s="75">
        <f>SUM(AL119:AO119)</f>
        <v>300000</v>
      </c>
      <c r="AR119" s="75">
        <f>B119+H119+N119+T119+AL119+AF119+Z119</f>
        <v>926654.45772800001</v>
      </c>
      <c r="AS119" s="75">
        <f t="shared" ref="AS119:AU124" si="168">C119+I119+O119+U119+AM119+AG119+AA119</f>
        <v>0</v>
      </c>
      <c r="AT119" s="75">
        <f t="shared" si="168"/>
        <v>0</v>
      </c>
      <c r="AU119" s="75">
        <f t="shared" si="168"/>
        <v>300000</v>
      </c>
      <c r="AV119" s="75">
        <f>SUM(AR119:AU119)</f>
        <v>1226654.4577279999</v>
      </c>
    </row>
    <row r="120" spans="1:48" x14ac:dyDescent="0.25">
      <c r="A120" s="21" t="s">
        <v>36</v>
      </c>
      <c r="B120" s="63">
        <f>85000*1.01*1.01*1.01*1.01</f>
        <v>88451.340850000008</v>
      </c>
      <c r="C120" s="63"/>
      <c r="D120" s="63"/>
      <c r="E120" s="63"/>
      <c r="F120" s="75">
        <f t="shared" ref="F120:F124" si="169">SUM(B120:E120)</f>
        <v>88451.340850000008</v>
      </c>
      <c r="H120" s="63">
        <f>77250*1.01*1.01*1.01*1.01</f>
        <v>80386.659772500003</v>
      </c>
      <c r="I120" s="63"/>
      <c r="J120" s="63"/>
      <c r="K120" s="63"/>
      <c r="L120" s="75">
        <f t="shared" ref="L120:L124" si="170">SUM(H120:K120)</f>
        <v>80386.659772500003</v>
      </c>
      <c r="N120" s="63">
        <f>77250*1.01*1.01*1.01*1.01</f>
        <v>80386.659772500003</v>
      </c>
      <c r="O120" s="63"/>
      <c r="P120" s="63"/>
      <c r="Q120" s="63"/>
      <c r="R120" s="75">
        <f t="shared" ref="R120:R124" si="171">SUM(N120:Q120)</f>
        <v>80386.659772500003</v>
      </c>
      <c r="T120" s="63"/>
      <c r="U120" s="63"/>
      <c r="V120" s="63"/>
      <c r="W120" s="63"/>
      <c r="X120" s="75">
        <f t="shared" ref="X120:X124" si="172">SUM(T120:W120)</f>
        <v>0</v>
      </c>
      <c r="Y120" s="194"/>
      <c r="Z120" s="63"/>
      <c r="AA120" s="63"/>
      <c r="AB120" s="63"/>
      <c r="AC120" s="63"/>
      <c r="AD120" s="75">
        <f t="shared" ref="AD120:AD124" si="173">SUM(Z120:AC120)</f>
        <v>0</v>
      </c>
      <c r="AE120" s="194"/>
      <c r="AF120" s="63">
        <f>82000*1.01*1.01</f>
        <v>83648.2</v>
      </c>
      <c r="AG120" s="63"/>
      <c r="AH120" s="63"/>
      <c r="AI120" s="63"/>
      <c r="AJ120" s="75">
        <f t="shared" ref="AJ120:AJ124" si="174">SUM(AF120:AI120)</f>
        <v>83648.2</v>
      </c>
      <c r="AL120" s="63"/>
      <c r="AM120" s="63"/>
      <c r="AN120" s="63"/>
      <c r="AO120" s="63">
        <v>185000</v>
      </c>
      <c r="AP120" s="75">
        <f t="shared" ref="AP120:AP124" si="175">SUM(AL120:AO120)</f>
        <v>185000</v>
      </c>
      <c r="AR120" s="75">
        <f t="shared" ref="AR120:AR124" si="176">B120+H120+N120+T120+AL120+AF120+Z120</f>
        <v>332872.86039500003</v>
      </c>
      <c r="AS120" s="75">
        <f t="shared" si="168"/>
        <v>0</v>
      </c>
      <c r="AT120" s="75">
        <f t="shared" si="168"/>
        <v>0</v>
      </c>
      <c r="AU120" s="75">
        <f t="shared" si="168"/>
        <v>185000</v>
      </c>
      <c r="AV120" s="75">
        <f t="shared" ref="AV120:AV124" si="177">SUM(AR120:AU120)</f>
        <v>517872.86039500003</v>
      </c>
    </row>
    <row r="121" spans="1:48" x14ac:dyDescent="0.25">
      <c r="A121" s="21" t="s">
        <v>96</v>
      </c>
      <c r="B121" s="63">
        <f>70300*B36</f>
        <v>3163500</v>
      </c>
      <c r="C121" s="63"/>
      <c r="D121" s="63"/>
      <c r="E121" s="63"/>
      <c r="F121" s="75">
        <f t="shared" si="169"/>
        <v>3163500</v>
      </c>
      <c r="H121" s="63">
        <f>68825*H36</f>
        <v>3097125</v>
      </c>
      <c r="I121" s="63"/>
      <c r="J121" s="63"/>
      <c r="K121" s="63"/>
      <c r="L121" s="75">
        <f t="shared" si="170"/>
        <v>3097125</v>
      </c>
      <c r="N121" s="63">
        <f>68800*N36+8000</f>
        <v>7025600</v>
      </c>
      <c r="O121" s="63"/>
      <c r="P121" s="63"/>
      <c r="Q121" s="63"/>
      <c r="R121" s="75">
        <f t="shared" si="171"/>
        <v>7025600</v>
      </c>
      <c r="T121" s="63">
        <f>60500*T36</f>
        <v>1391500</v>
      </c>
      <c r="U121" s="63"/>
      <c r="V121" s="63"/>
      <c r="W121" s="63"/>
      <c r="X121" s="75">
        <f t="shared" si="172"/>
        <v>1391500</v>
      </c>
      <c r="Y121" s="194"/>
      <c r="Z121" s="63">
        <f>59100*Z36</f>
        <v>2718600</v>
      </c>
      <c r="AA121" s="63"/>
      <c r="AB121" s="63"/>
      <c r="AC121" s="63"/>
      <c r="AD121" s="75">
        <f t="shared" si="173"/>
        <v>2718600</v>
      </c>
      <c r="AE121" s="194"/>
      <c r="AF121" s="63">
        <f>57650*AF36</f>
        <v>2478950</v>
      </c>
      <c r="AG121" s="63"/>
      <c r="AH121" s="63"/>
      <c r="AI121" s="63"/>
      <c r="AJ121" s="75">
        <f t="shared" si="174"/>
        <v>2478950</v>
      </c>
      <c r="AL121" s="63"/>
      <c r="AM121" s="63"/>
      <c r="AN121" s="63"/>
      <c r="AO121" s="63"/>
      <c r="AP121" s="75">
        <f t="shared" si="175"/>
        <v>0</v>
      </c>
      <c r="AR121" s="75">
        <f t="shared" si="176"/>
        <v>19875275</v>
      </c>
      <c r="AS121" s="75">
        <f t="shared" si="168"/>
        <v>0</v>
      </c>
      <c r="AT121" s="75">
        <f t="shared" si="168"/>
        <v>0</v>
      </c>
      <c r="AU121" s="75">
        <f t="shared" si="168"/>
        <v>0</v>
      </c>
      <c r="AV121" s="75">
        <f t="shared" si="177"/>
        <v>19875275</v>
      </c>
    </row>
    <row r="122" spans="1:48" x14ac:dyDescent="0.25">
      <c r="A122" s="21" t="s">
        <v>24</v>
      </c>
      <c r="B122" s="63"/>
      <c r="C122" s="63">
        <f>70300*C28</f>
        <v>351500</v>
      </c>
      <c r="D122" s="63"/>
      <c r="E122" s="63"/>
      <c r="F122" s="75">
        <f t="shared" si="169"/>
        <v>351500</v>
      </c>
      <c r="H122" s="63"/>
      <c r="I122" s="63">
        <f>68825*I28</f>
        <v>275300</v>
      </c>
      <c r="J122" s="63"/>
      <c r="K122" s="63"/>
      <c r="L122" s="75">
        <f t="shared" si="170"/>
        <v>275300</v>
      </c>
      <c r="N122" s="63"/>
      <c r="O122" s="63">
        <f>68800*O28</f>
        <v>963200</v>
      </c>
      <c r="P122" s="63"/>
      <c r="Q122" s="63"/>
      <c r="R122" s="75">
        <f t="shared" si="171"/>
        <v>963200</v>
      </c>
      <c r="T122" s="63"/>
      <c r="U122" s="63">
        <f>63000*U28</f>
        <v>189000</v>
      </c>
      <c r="V122" s="63"/>
      <c r="W122" s="63"/>
      <c r="X122" s="75">
        <f t="shared" si="172"/>
        <v>189000</v>
      </c>
      <c r="Y122" s="194"/>
      <c r="Z122" s="63"/>
      <c r="AA122" s="63">
        <f>62100*AA28</f>
        <v>372600</v>
      </c>
      <c r="AB122" s="63"/>
      <c r="AC122" s="63"/>
      <c r="AD122" s="75">
        <f t="shared" si="173"/>
        <v>372600</v>
      </c>
      <c r="AE122" s="194"/>
      <c r="AF122" s="63"/>
      <c r="AG122" s="63">
        <f>61500*AG28</f>
        <v>307500</v>
      </c>
      <c r="AH122" s="63"/>
      <c r="AI122" s="63"/>
      <c r="AJ122" s="75">
        <f t="shared" si="174"/>
        <v>307500</v>
      </c>
      <c r="AL122" s="63"/>
      <c r="AM122" s="63"/>
      <c r="AN122" s="63"/>
      <c r="AO122" s="63"/>
      <c r="AP122" s="75">
        <f t="shared" si="175"/>
        <v>0</v>
      </c>
      <c r="AR122" s="75">
        <f t="shared" si="176"/>
        <v>0</v>
      </c>
      <c r="AS122" s="75">
        <f t="shared" si="168"/>
        <v>2459100</v>
      </c>
      <c r="AT122" s="75">
        <f t="shared" si="168"/>
        <v>0</v>
      </c>
      <c r="AU122" s="75">
        <f t="shared" si="168"/>
        <v>0</v>
      </c>
      <c r="AV122" s="75">
        <f t="shared" si="177"/>
        <v>2459100</v>
      </c>
    </row>
    <row r="123" spans="1:48" x14ac:dyDescent="0.25">
      <c r="A123" s="21" t="s">
        <v>97</v>
      </c>
      <c r="B123" s="63">
        <f>(22*8*180)*B50</f>
        <v>285120</v>
      </c>
      <c r="C123" s="63">
        <f>(22*8*180)*C50</f>
        <v>158400</v>
      </c>
      <c r="D123" s="63"/>
      <c r="E123" s="63">
        <f>(20.25*8*180)*E50</f>
        <v>0</v>
      </c>
      <c r="F123" s="75">
        <f t="shared" si="169"/>
        <v>443520</v>
      </c>
      <c r="H123" s="63">
        <f>(22*8*180)*H50</f>
        <v>285120</v>
      </c>
      <c r="I123" s="63">
        <f>(22*8*180)*I50</f>
        <v>174240</v>
      </c>
      <c r="J123" s="63"/>
      <c r="K123" s="63">
        <f>(20.25*8*180)*K50</f>
        <v>0</v>
      </c>
      <c r="L123" s="75">
        <f t="shared" si="170"/>
        <v>459360</v>
      </c>
      <c r="N123" s="63">
        <f>(22*8*180)*N50</f>
        <v>380160</v>
      </c>
      <c r="O123" s="63">
        <f>(22*8*180)*O50</f>
        <v>443520</v>
      </c>
      <c r="P123" s="63"/>
      <c r="Q123" s="63">
        <f>(20.25*8*180)*Q50</f>
        <v>0</v>
      </c>
      <c r="R123" s="75">
        <f t="shared" si="171"/>
        <v>823680</v>
      </c>
      <c r="T123" s="63">
        <f>21*8*185*T50</f>
        <v>108780</v>
      </c>
      <c r="U123" s="63">
        <f>21*8*185*U50</f>
        <v>93240</v>
      </c>
      <c r="V123" s="63">
        <f t="shared" ref="V123:W123" si="178">20*8*185*V50</f>
        <v>0</v>
      </c>
      <c r="W123" s="63">
        <f t="shared" si="178"/>
        <v>0</v>
      </c>
      <c r="X123" s="75">
        <f t="shared" si="172"/>
        <v>202020</v>
      </c>
      <c r="Y123" s="194"/>
      <c r="Z123" s="63">
        <f>21.75*8*185*Z50</f>
        <v>112665</v>
      </c>
      <c r="AA123" s="63">
        <f>21.75*8*185*AA50</f>
        <v>193140</v>
      </c>
      <c r="AB123" s="63">
        <f t="shared" ref="AB123:AC123" si="179">20*8*185*AB50</f>
        <v>0</v>
      </c>
      <c r="AC123" s="63">
        <f t="shared" si="179"/>
        <v>0</v>
      </c>
      <c r="AD123" s="75">
        <f t="shared" si="173"/>
        <v>305805</v>
      </c>
      <c r="AE123" s="194"/>
      <c r="AF123" s="63">
        <f>20.75*8*185*AF50</f>
        <v>122840</v>
      </c>
      <c r="AG123" s="63">
        <f>20.75*8*185*AG50</f>
        <v>184260</v>
      </c>
      <c r="AH123" s="63">
        <v>0</v>
      </c>
      <c r="AI123" s="63">
        <f t="shared" ref="AI123" si="180">20*8*185*AI50</f>
        <v>0</v>
      </c>
      <c r="AJ123" s="75">
        <f t="shared" si="174"/>
        <v>307100</v>
      </c>
      <c r="AL123" s="63">
        <f>(45000)*1.01*1.01*1.01*1.01</f>
        <v>46827.18045</v>
      </c>
      <c r="AM123" s="63"/>
      <c r="AN123" s="63"/>
      <c r="AO123" s="63">
        <v>600000</v>
      </c>
      <c r="AP123" s="75">
        <f t="shared" si="175"/>
        <v>646827.18044999999</v>
      </c>
      <c r="AR123" s="75">
        <f t="shared" si="176"/>
        <v>1341512.1804500001</v>
      </c>
      <c r="AS123" s="75">
        <f t="shared" si="168"/>
        <v>1246800</v>
      </c>
      <c r="AT123" s="75">
        <f t="shared" si="168"/>
        <v>0</v>
      </c>
      <c r="AU123" s="75">
        <f t="shared" si="168"/>
        <v>600000</v>
      </c>
      <c r="AV123" s="75">
        <f t="shared" si="177"/>
        <v>3188312.1804499999</v>
      </c>
    </row>
    <row r="124" spans="1:48" x14ac:dyDescent="0.25">
      <c r="A124" s="22" t="s">
        <v>54</v>
      </c>
      <c r="B124" s="64">
        <f>195*180*B59</f>
        <v>70200</v>
      </c>
      <c r="C124" s="64"/>
      <c r="D124" s="64"/>
      <c r="E124" s="64"/>
      <c r="F124" s="75">
        <f t="shared" si="169"/>
        <v>70200</v>
      </c>
      <c r="H124" s="64">
        <f>195*180*H59</f>
        <v>35100</v>
      </c>
      <c r="I124" s="64"/>
      <c r="J124" s="64"/>
      <c r="K124" s="64"/>
      <c r="L124" s="75">
        <f t="shared" si="170"/>
        <v>35100</v>
      </c>
      <c r="N124" s="64">
        <f>195*180*N59</f>
        <v>105300</v>
      </c>
      <c r="O124" s="64"/>
      <c r="P124" s="64"/>
      <c r="Q124" s="64"/>
      <c r="R124" s="75">
        <f t="shared" si="171"/>
        <v>105300</v>
      </c>
      <c r="T124" s="64">
        <f>175*180*T59</f>
        <v>0</v>
      </c>
      <c r="U124" s="64"/>
      <c r="V124" s="64"/>
      <c r="W124" s="64"/>
      <c r="X124" s="75">
        <f t="shared" si="172"/>
        <v>0</v>
      </c>
      <c r="Y124" s="194"/>
      <c r="Z124" s="64">
        <f>175*180*Z59</f>
        <v>0</v>
      </c>
      <c r="AA124" s="64"/>
      <c r="AB124" s="64"/>
      <c r="AC124" s="64"/>
      <c r="AD124" s="75">
        <f t="shared" si="173"/>
        <v>0</v>
      </c>
      <c r="AE124" s="194"/>
      <c r="AF124" s="64">
        <f>175*180*AF59</f>
        <v>0</v>
      </c>
      <c r="AG124" s="64"/>
      <c r="AH124" s="64"/>
      <c r="AI124" s="64"/>
      <c r="AJ124" s="75">
        <f t="shared" si="174"/>
        <v>0</v>
      </c>
      <c r="AL124" s="64"/>
      <c r="AM124" s="64"/>
      <c r="AN124" s="64"/>
      <c r="AO124" s="64"/>
      <c r="AP124" s="75">
        <f t="shared" si="175"/>
        <v>0</v>
      </c>
      <c r="AR124" s="75">
        <f t="shared" si="176"/>
        <v>210600</v>
      </c>
      <c r="AS124" s="75">
        <f t="shared" si="168"/>
        <v>0</v>
      </c>
      <c r="AT124" s="75">
        <f t="shared" si="168"/>
        <v>0</v>
      </c>
      <c r="AU124" s="75">
        <f t="shared" si="168"/>
        <v>0</v>
      </c>
      <c r="AV124" s="75">
        <f t="shared" si="177"/>
        <v>210600</v>
      </c>
    </row>
    <row r="125" spans="1:48" x14ac:dyDescent="0.25">
      <c r="A125" s="29"/>
      <c r="B125" s="76">
        <f t="shared" ref="B125:E125" si="181">SUM(B119:B124)</f>
        <v>3768044.6603950001</v>
      </c>
      <c r="C125" s="76">
        <f t="shared" si="181"/>
        <v>509900</v>
      </c>
      <c r="D125" s="76">
        <f t="shared" si="181"/>
        <v>0</v>
      </c>
      <c r="E125" s="76">
        <f t="shared" si="181"/>
        <v>0</v>
      </c>
      <c r="F125" s="76">
        <f t="shared" ref="F125" si="182">SUM(F119:F124)</f>
        <v>4277944.6603950001</v>
      </c>
      <c r="H125" s="76">
        <f t="shared" ref="H125:L125" si="183">SUM(H119:H124)</f>
        <v>3602832.6647824999</v>
      </c>
      <c r="I125" s="76">
        <f t="shared" si="183"/>
        <v>449540</v>
      </c>
      <c r="J125" s="76">
        <f t="shared" si="183"/>
        <v>0</v>
      </c>
      <c r="K125" s="76">
        <f t="shared" si="183"/>
        <v>0</v>
      </c>
      <c r="L125" s="76">
        <f t="shared" si="183"/>
        <v>4052372.6647824999</v>
      </c>
      <c r="N125" s="76">
        <f t="shared" ref="N125:R125" si="184">SUM(N119:N124)</f>
        <v>7921630.3121454995</v>
      </c>
      <c r="O125" s="76">
        <f t="shared" si="184"/>
        <v>1406720</v>
      </c>
      <c r="P125" s="76">
        <f t="shared" si="184"/>
        <v>0</v>
      </c>
      <c r="Q125" s="76">
        <f t="shared" si="184"/>
        <v>0</v>
      </c>
      <c r="R125" s="76">
        <f t="shared" si="184"/>
        <v>9328350.3121454995</v>
      </c>
      <c r="T125" s="76">
        <f t="shared" ref="T125:X125" si="185">SUM(T119:T124)</f>
        <v>1583528.3208000001</v>
      </c>
      <c r="U125" s="76">
        <f t="shared" si="185"/>
        <v>282240</v>
      </c>
      <c r="V125" s="76">
        <f t="shared" si="185"/>
        <v>0</v>
      </c>
      <c r="W125" s="76">
        <f t="shared" si="185"/>
        <v>0</v>
      </c>
      <c r="X125" s="76">
        <f t="shared" si="185"/>
        <v>1865768.3208000001</v>
      </c>
      <c r="Y125" s="199"/>
      <c r="Z125" s="76">
        <f t="shared" ref="Z125:AD125" si="186">SUM(Z119:Z124)</f>
        <v>2996113.16</v>
      </c>
      <c r="AA125" s="76">
        <f t="shared" si="186"/>
        <v>565740</v>
      </c>
      <c r="AB125" s="76">
        <f t="shared" si="186"/>
        <v>0</v>
      </c>
      <c r="AC125" s="76">
        <f t="shared" si="186"/>
        <v>0</v>
      </c>
      <c r="AD125" s="76">
        <f t="shared" si="186"/>
        <v>3561853.16</v>
      </c>
      <c r="AE125" s="199"/>
      <c r="AF125" s="76">
        <f t="shared" ref="AF125:AJ125" si="187">SUM(AF119:AF124)</f>
        <v>2767938.2</v>
      </c>
      <c r="AG125" s="76">
        <f t="shared" si="187"/>
        <v>491760</v>
      </c>
      <c r="AH125" s="76">
        <f t="shared" si="187"/>
        <v>0</v>
      </c>
      <c r="AI125" s="76">
        <f t="shared" si="187"/>
        <v>0</v>
      </c>
      <c r="AJ125" s="76">
        <f t="shared" si="187"/>
        <v>3259698.2</v>
      </c>
      <c r="AL125" s="76">
        <f t="shared" ref="AL125:AP125" si="188">SUM(AL119:AL124)</f>
        <v>46827.18045</v>
      </c>
      <c r="AM125" s="76">
        <f t="shared" si="188"/>
        <v>0</v>
      </c>
      <c r="AN125" s="76">
        <f t="shared" si="188"/>
        <v>0</v>
      </c>
      <c r="AO125" s="76">
        <f t="shared" si="188"/>
        <v>1085000</v>
      </c>
      <c r="AP125" s="76">
        <f t="shared" si="188"/>
        <v>1131827.1804499999</v>
      </c>
      <c r="AR125" s="76">
        <f t="shared" ref="AR125:AV125" si="189">SUM(AR119:AR124)</f>
        <v>22686914.498573001</v>
      </c>
      <c r="AS125" s="76">
        <f t="shared" si="189"/>
        <v>3705900</v>
      </c>
      <c r="AT125" s="76">
        <f t="shared" si="189"/>
        <v>0</v>
      </c>
      <c r="AU125" s="76">
        <f t="shared" si="189"/>
        <v>1085000</v>
      </c>
      <c r="AV125" s="76">
        <f t="shared" si="189"/>
        <v>27477814.498573001</v>
      </c>
    </row>
    <row r="126" spans="1:48" x14ac:dyDescent="0.25">
      <c r="A126" s="20" t="s">
        <v>273</v>
      </c>
      <c r="B126" s="75">
        <f>B125*0.3875</f>
        <v>1460117.3059030627</v>
      </c>
      <c r="C126" s="75">
        <f t="shared" ref="C126:E126" si="190">C125*0.3875</f>
        <v>197586.25</v>
      </c>
      <c r="D126" s="75">
        <f t="shared" si="190"/>
        <v>0</v>
      </c>
      <c r="E126" s="75">
        <f t="shared" si="190"/>
        <v>0</v>
      </c>
      <c r="F126" s="75">
        <f>SUM(B126:E126)</f>
        <v>1657703.5559030627</v>
      </c>
      <c r="H126" s="75">
        <f>H125*0.3875</f>
        <v>1396097.6576032187</v>
      </c>
      <c r="I126" s="75">
        <f t="shared" ref="I126" si="191">I125*0.3875</f>
        <v>174196.75</v>
      </c>
      <c r="J126" s="75">
        <f t="shared" ref="J126" si="192">J125*0.3875</f>
        <v>0</v>
      </c>
      <c r="K126" s="75">
        <f t="shared" ref="K126" si="193">K125*0.3875</f>
        <v>0</v>
      </c>
      <c r="L126" s="75">
        <f>SUM(H126:K126)</f>
        <v>1570294.4076032187</v>
      </c>
      <c r="N126" s="75">
        <f>N125*0.3875</f>
        <v>3069631.7459563813</v>
      </c>
      <c r="O126" s="75">
        <f t="shared" ref="O126" si="194">O125*0.3875</f>
        <v>545104</v>
      </c>
      <c r="P126" s="75">
        <f t="shared" ref="P126" si="195">P125*0.3875</f>
        <v>0</v>
      </c>
      <c r="Q126" s="75">
        <f t="shared" ref="Q126" si="196">Q125*0.3825</f>
        <v>0</v>
      </c>
      <c r="R126" s="75">
        <f>SUM(N126:Q126)</f>
        <v>3614735.7459563813</v>
      </c>
      <c r="T126" s="75">
        <f>T125*0.3875</f>
        <v>613617.22431000008</v>
      </c>
      <c r="U126" s="75">
        <f t="shared" ref="U126:W126" si="197">U125*0.3875</f>
        <v>109368</v>
      </c>
      <c r="V126" s="75">
        <f t="shared" si="197"/>
        <v>0</v>
      </c>
      <c r="W126" s="75">
        <f t="shared" si="197"/>
        <v>0</v>
      </c>
      <c r="X126" s="75">
        <f>SUM(T126:W126)</f>
        <v>722985.22431000008</v>
      </c>
      <c r="Y126" s="194"/>
      <c r="Z126" s="75">
        <f>Z125*0.3875</f>
        <v>1160993.8495</v>
      </c>
      <c r="AA126" s="75">
        <f t="shared" ref="AA126:AC126" si="198">AA125*0.3875</f>
        <v>219224.25</v>
      </c>
      <c r="AB126" s="75">
        <f t="shared" si="198"/>
        <v>0</v>
      </c>
      <c r="AC126" s="75">
        <f t="shared" si="198"/>
        <v>0</v>
      </c>
      <c r="AD126" s="75">
        <f>SUM(Z126:AC126)</f>
        <v>1380218.0995</v>
      </c>
      <c r="AE126" s="194"/>
      <c r="AF126" s="75">
        <f>AF125*0.3875</f>
        <v>1072576.0525</v>
      </c>
      <c r="AG126" s="75">
        <f t="shared" ref="AG126" si="199">AG125*0.3875</f>
        <v>190557</v>
      </c>
      <c r="AH126" s="75">
        <f t="shared" ref="AH126:AI126" si="200">AH125*0.3825</f>
        <v>0</v>
      </c>
      <c r="AI126" s="75">
        <f t="shared" si="200"/>
        <v>0</v>
      </c>
      <c r="AJ126" s="75">
        <f>SUM(AF126:AI126)</f>
        <v>1263133.0525</v>
      </c>
      <c r="AL126" s="75">
        <f>AL125*0.3875</f>
        <v>18145.532424375</v>
      </c>
      <c r="AM126" s="75">
        <f t="shared" ref="AM126:AN126" si="201">AM125*0.3875</f>
        <v>0</v>
      </c>
      <c r="AN126" s="75">
        <f t="shared" si="201"/>
        <v>0</v>
      </c>
      <c r="AO126" s="75">
        <f t="shared" ref="AO126" si="202">AO125*0.3675</f>
        <v>398737.5</v>
      </c>
      <c r="AP126" s="75">
        <f>SUM(AL126:AO126)</f>
        <v>416883.03242437501</v>
      </c>
      <c r="AR126" s="75">
        <f>B126+H126+N126+T126+AL126+AF126+Z126</f>
        <v>8791179.3681970388</v>
      </c>
      <c r="AS126" s="75">
        <f t="shared" ref="AS126:AU131" si="203">C126+I126+O126+U126+AM126+AG126+AA126</f>
        <v>1436036.25</v>
      </c>
      <c r="AT126" s="75">
        <f t="shared" si="203"/>
        <v>0</v>
      </c>
      <c r="AU126" s="75">
        <f t="shared" si="203"/>
        <v>398737.5</v>
      </c>
      <c r="AV126" s="75">
        <f>SUM(AR126:AU126)</f>
        <v>10625953.118197039</v>
      </c>
    </row>
    <row r="127" spans="1:48" x14ac:dyDescent="0.25">
      <c r="A127" s="21" t="s">
        <v>90</v>
      </c>
      <c r="B127" s="61">
        <f>(((11750*(B63*0.9))+((255*(B63*0.875))+((115*(B63*0.85))+(B65*30)+(B125*0.015)+(B125*0.03)))))-2500</f>
        <v>790481.88471777504</v>
      </c>
      <c r="C127" s="61">
        <f>(((11750*(C63*0.875))+((255*(C63*0.875))+((115*(C63*0.85))+(C65*30)+(C125*0.015)+(C125*0.03)))))</f>
        <v>129341.75</v>
      </c>
      <c r="D127" s="61">
        <f>(((8975*(D63*0.85))+((200*(D63*0.85))+((80*(D63*0.85))+(D63*10)+(D125*0.015)+(D125*0.03)))))</f>
        <v>0</v>
      </c>
      <c r="E127" s="61">
        <f t="shared" ref="E127" si="204">(((8150*(E63*0.85))+((185*(E63*0.85))+((75*(E63*0.85))+(E65*7)+(E125*0.015)+(E125*0.03)))))</f>
        <v>0</v>
      </c>
      <c r="F127" s="75">
        <f t="shared" ref="F127:F131" si="205">SUM(B127:E127)</f>
        <v>919823.63471777504</v>
      </c>
      <c r="H127" s="61">
        <f>(((11750*(H63*0.9))+((255*(H63*0.875))+((115*(H63*0.85))+(H65*30)+(H125*0.015)+(H125*0.03)))))-2500</f>
        <v>777509.40741521248</v>
      </c>
      <c r="I127" s="61">
        <f>(((11750*(I63*0.875))+((255*(I63*0.875))+((115*(I63*0.85))+(I65*30)+(I125*0.015)+(I125*0.03)))))</f>
        <v>121309.4875</v>
      </c>
      <c r="J127" s="61">
        <f>(((8975*(J63*0.85))+((200*(J63*0.85))+((80*(J63*0.85))+(J63*10)+(J125*0.015)+(J125*0.03)))))</f>
        <v>0</v>
      </c>
      <c r="K127" s="61">
        <f t="shared" ref="K127" si="206">(((8150*(K63*0.85))+((185*(K63*0.85))+((75*(K63*0.85))+(K65*7)+(K125*0.015)+(K125*0.03)))))</f>
        <v>0</v>
      </c>
      <c r="L127" s="75">
        <f t="shared" ref="L127:L131" si="207">SUM(H127:K127)</f>
        <v>898818.89491521253</v>
      </c>
      <c r="N127" s="61">
        <f>(((11750*(N63*0.9))+((255*(N63*0.875))+((115*(N63*0.85))+(N65*30)+(N125*0.015)+(N125*0.03)))))-2500</f>
        <v>1655382.4890465476</v>
      </c>
      <c r="O127" s="61">
        <f>(((11750*(O63*0.875))+((255*(O63*0.875))+((115*(O63*0.85))+(O65*30)+(O125*0.015)+(O125*0.03)))))</f>
        <v>361091.9</v>
      </c>
      <c r="P127" s="61">
        <f>(((8975*(P63*0.85))+((200*(P63*0.85))+((80*(P63*0.85))+(P63*10)+(P125*0.015)+(P125*0.03)))))</f>
        <v>0</v>
      </c>
      <c r="Q127" s="61">
        <f t="shared" ref="Q127" si="208">(((8150*(Q63*0.85))+((185*(Q63*0.85))+((75*(Q63*0.85))+(Q65*7)+(Q125*0.015)+(Q125*0.03)))))</f>
        <v>0</v>
      </c>
      <c r="R127" s="75">
        <f t="shared" ref="R127:R131" si="209">SUM(N127:Q127)</f>
        <v>2016474.3890465475</v>
      </c>
      <c r="T127" s="61">
        <f>(((11750*(T63*0.85))+((255*(T63*0.85))+((115*(T63*0.85))+(T65*35)+(T125*0.015)+(T125*0.03)))))</f>
        <v>355666.27443600004</v>
      </c>
      <c r="U127" s="61">
        <f t="shared" ref="U127:W127" si="210">(((11750*(U63*0.85))+((255*(U63*0.85))+((115*(U63*0.85))+(U65*35)+(U125*0.015)+(U125*0.03)))))</f>
        <v>74722.799999999988</v>
      </c>
      <c r="V127" s="61">
        <f t="shared" si="210"/>
        <v>0</v>
      </c>
      <c r="W127" s="61">
        <f t="shared" si="210"/>
        <v>0</v>
      </c>
      <c r="X127" s="75">
        <f t="shared" ref="X127:X131" si="211">SUM(T127:W127)</f>
        <v>430389.07443600002</v>
      </c>
      <c r="Y127" s="194"/>
      <c r="Z127" s="61">
        <f>(((11750*(Z63*0.9))+((255*(Z63*0.875))+((115*(Z63*0.85))+(Z65*30)+(Z125*0.015)+(Z125*0.03)))))-2500</f>
        <v>695427.65469999996</v>
      </c>
      <c r="AA127" s="61">
        <f>(((11750*(AA63*0.875))+((255*(AA63*0.875))+((115*(AA63*0.85))+(AA65*30)+(AA125*0.015)+(AA125*0.03)))))</f>
        <v>153043.79999999999</v>
      </c>
      <c r="AB127" s="61">
        <f>(((8975*(AB63*0.85))+((200*(AB63*0.85))+((80*(AB63*0.85))+(AB63*10)+(AB125*0.015)+(AB125*0.03)))))</f>
        <v>0</v>
      </c>
      <c r="AC127" s="61">
        <f t="shared" ref="AC127" si="212">(((8150*(AC63*0.85))+((185*(AC63*0.85))+((75*(AC63*0.85))+(AC65*7)+(AC125*0.015)+(AC125*0.03)))))</f>
        <v>0</v>
      </c>
      <c r="AD127" s="75">
        <f t="shared" ref="AD127:AD131" si="213">SUM(Z127:AC127)</f>
        <v>848471.45469999989</v>
      </c>
      <c r="AE127" s="194"/>
      <c r="AF127" s="61">
        <f>(((11750*(AF63*0.9))+((255*(AF63*0.875))+((115*(AF63*0.85))+(AF65*30)+(AF125*0.015)+(AF125*0.03)))))-2500</f>
        <v>657845.09400000004</v>
      </c>
      <c r="AG127" s="61">
        <f>(((11750*(AG63*0.875))+((255*(AG63*0.875))+((115*(AG63*0.85))+(AG65*30)+(AG125*0.015)+(AG125*0.03)))))</f>
        <v>139082.57500000001</v>
      </c>
      <c r="AH127" s="61">
        <v>0</v>
      </c>
      <c r="AI127" s="61">
        <f t="shared" ref="AI127" si="214">(((10870*(AI63*0.85))+((235*(AI63*0.85))+((100*(AI63*0.85))+(AI65*25)+(AI125*0.015)+(AI125*0.03)))))</f>
        <v>0</v>
      </c>
      <c r="AJ127" s="75">
        <f t="shared" ref="AJ127:AJ131" si="215">SUM(AF127:AI127)</f>
        <v>796927.66899999999</v>
      </c>
      <c r="AL127" s="63">
        <f>AL125*0.2</f>
        <v>9365.4360900000011</v>
      </c>
      <c r="AM127" s="63">
        <f t="shared" ref="AM127:AN127" si="216">AM125*0.2</f>
        <v>0</v>
      </c>
      <c r="AN127" s="63">
        <f t="shared" si="216"/>
        <v>0</v>
      </c>
      <c r="AO127" s="63">
        <f>AO125*0.15</f>
        <v>162750</v>
      </c>
      <c r="AP127" s="75">
        <f t="shared" ref="AP127:AP131" si="217">SUM(AL127:AO127)</f>
        <v>172115.43609</v>
      </c>
      <c r="AR127" s="75">
        <f t="shared" ref="AR127:AR131" si="218">B127+H127+N127+T127+AL127+AF127+Z127</f>
        <v>4941678.2404055353</v>
      </c>
      <c r="AS127" s="75">
        <f t="shared" si="203"/>
        <v>978592.3125</v>
      </c>
      <c r="AT127" s="75">
        <f t="shared" si="203"/>
        <v>0</v>
      </c>
      <c r="AU127" s="75">
        <f t="shared" si="203"/>
        <v>162750</v>
      </c>
      <c r="AV127" s="75">
        <f t="shared" ref="AV127:AV131" si="219">SUM(AR127:AU127)</f>
        <v>6083020.5529055353</v>
      </c>
    </row>
    <row r="128" spans="1:48" x14ac:dyDescent="0.25">
      <c r="A128" s="21" t="s">
        <v>91</v>
      </c>
      <c r="B128" s="61">
        <f>((1250*B36)+((1500*(B41+B43))+(500*B50)+(1250*B59)))+(1000*8)</f>
        <v>75750</v>
      </c>
      <c r="C128" s="61">
        <f t="shared" ref="C128" si="220">((1250*C36)+((1500*(C41+C43))+(500*C50)+(1250*C59)))+(1000*5)</f>
        <v>13750</v>
      </c>
      <c r="D128" s="61">
        <f>((1250*D36)+((1500*(D41+D43))+(500*D50)+(1250*D59)))</f>
        <v>0</v>
      </c>
      <c r="E128" s="61">
        <f>((1250*E36)+((1500*(E41+E43))+(500*E50)+(1250*E59)))</f>
        <v>0</v>
      </c>
      <c r="F128" s="75">
        <f t="shared" si="205"/>
        <v>89500</v>
      </c>
      <c r="H128" s="61">
        <f>((1250*H36)+((1500*(H41+H43))+(500*H50)+(1250*H59)))+(1000*8)</f>
        <v>73750</v>
      </c>
      <c r="I128" s="61">
        <f t="shared" ref="I128" si="221">((1250*I36)+((1500*(I41+I43))+(500*I50)+(1250*I59)))+(1000*5)</f>
        <v>12750</v>
      </c>
      <c r="J128" s="61">
        <f>((1250*J36)+((1500*(J41+J43))+(500*J50)+(1250*J59)))</f>
        <v>0</v>
      </c>
      <c r="K128" s="61">
        <f>((1250*K36)+((1500*(K41+K43))+(500*K50)+(1250*K59)))</f>
        <v>0</v>
      </c>
      <c r="L128" s="75">
        <f t="shared" si="207"/>
        <v>86500</v>
      </c>
      <c r="N128" s="61">
        <f>((1250*N36)+((1500*(N41+N43))+(500*N50)+(1250*N59)))+(1000*8)</f>
        <v>152750</v>
      </c>
      <c r="O128" s="61">
        <f t="shared" ref="O128" si="222">((1250*O36)+((1500*(O41+O43))+(500*O50)+(1250*O59)))+(1000*5)</f>
        <v>29500</v>
      </c>
      <c r="P128" s="61">
        <f>((1250*P36)+((1500*(P41+P43))+(500*P50)+(1250*P59)))</f>
        <v>0</v>
      </c>
      <c r="Q128" s="61">
        <f>((1250*Q36)+((1500*(Q41+Q43))+(500*Q50)+(1250*Q59)))</f>
        <v>0</v>
      </c>
      <c r="R128" s="75">
        <f t="shared" si="209"/>
        <v>182250</v>
      </c>
      <c r="T128" s="61">
        <f>((1250*T36)+((1500*(T41+T43))+(500*T50)+(1250*T59)))+(1000*2)</f>
        <v>34000</v>
      </c>
      <c r="U128" s="61">
        <f>((1250*U36)+((1500*(U41+U43))+(500*U50)+(1250*U59)))+(1000*1)</f>
        <v>6250</v>
      </c>
      <c r="V128" s="61">
        <v>0</v>
      </c>
      <c r="W128" s="61">
        <v>0</v>
      </c>
      <c r="X128" s="75">
        <f t="shared" si="211"/>
        <v>40250</v>
      </c>
      <c r="Y128" s="194"/>
      <c r="Z128" s="61">
        <f>(((1250*Z36)+((1500*(Z41+Z43))+(500*Z50)+(1250*Z59)))+(1000*6))</f>
        <v>68250</v>
      </c>
      <c r="AA128" s="61">
        <f>(((1250*AA36)+((1500*(AA41+AA43))+(500*AA50)+(1250*AA59)))+(1000*1))</f>
        <v>11500</v>
      </c>
      <c r="AB128" s="61">
        <v>0</v>
      </c>
      <c r="AC128" s="61">
        <v>0</v>
      </c>
      <c r="AD128" s="75">
        <f t="shared" si="213"/>
        <v>79750</v>
      </c>
      <c r="AE128" s="194"/>
      <c r="AF128" s="61">
        <f>((1250*AF36)+((1500*(AF41+AF43))+(500*AF50)+(1250*AF59)))+(1000*8)</f>
        <v>66750</v>
      </c>
      <c r="AG128" s="61">
        <f t="shared" ref="AG128" si="223">((1250*AG36)+((1500*(AG41+AG43))+(500*AG50)+(1250*AG59)))+(1000*5)</f>
        <v>14250</v>
      </c>
      <c r="AH128" s="61">
        <v>0</v>
      </c>
      <c r="AI128" s="61">
        <f>((1250*AI36)+((1500*(AI41+AI43))+(500*AI50)+(1250*AI59)))</f>
        <v>0</v>
      </c>
      <c r="AJ128" s="75">
        <f t="shared" si="215"/>
        <v>81000</v>
      </c>
      <c r="AL128" s="61">
        <f>((1250*AL36)+((1500*(AL41+AL43))+(500*AL50)+(1250*AL59)))</f>
        <v>500</v>
      </c>
      <c r="AM128" s="61">
        <f>((1250*AM36)+((1500*(AM41+AM43))+(500*AM50)+(1250*AM59)))</f>
        <v>0</v>
      </c>
      <c r="AN128" s="61">
        <f>((1250*AN36)+((1500*(AN41+AN43))+(500*AN50)+(1250*AN59)))</f>
        <v>0</v>
      </c>
      <c r="AO128" s="61">
        <f>((1250*AO36)+((1500*(AO41+AO43))+(500*AO50)+(1250*AO59)))</f>
        <v>17500</v>
      </c>
      <c r="AP128" s="75">
        <f t="shared" si="217"/>
        <v>18000</v>
      </c>
      <c r="AR128" s="75">
        <f t="shared" si="218"/>
        <v>471750</v>
      </c>
      <c r="AS128" s="75">
        <f t="shared" si="203"/>
        <v>88000</v>
      </c>
      <c r="AT128" s="75">
        <f t="shared" si="203"/>
        <v>0</v>
      </c>
      <c r="AU128" s="75">
        <f t="shared" si="203"/>
        <v>17500</v>
      </c>
      <c r="AV128" s="75">
        <f t="shared" si="219"/>
        <v>577250</v>
      </c>
    </row>
    <row r="129" spans="1:48" x14ac:dyDescent="0.25">
      <c r="A129" s="21" t="s">
        <v>92</v>
      </c>
      <c r="B129" s="61">
        <f>250*B63</f>
        <v>14250</v>
      </c>
      <c r="C129" s="61">
        <f t="shared" ref="C129:D129" si="224">250*C63</f>
        <v>2500</v>
      </c>
      <c r="D129" s="61">
        <f t="shared" si="224"/>
        <v>0</v>
      </c>
      <c r="E129" s="61">
        <f>250*E63</f>
        <v>0</v>
      </c>
      <c r="F129" s="75">
        <f t="shared" si="205"/>
        <v>16750</v>
      </c>
      <c r="H129" s="61">
        <f>250*H63</f>
        <v>14125</v>
      </c>
      <c r="I129" s="61">
        <f t="shared" ref="I129:J129" si="225">250*I63</f>
        <v>2375</v>
      </c>
      <c r="J129" s="61">
        <f t="shared" si="225"/>
        <v>0</v>
      </c>
      <c r="K129" s="61">
        <f>250*K63</f>
        <v>0</v>
      </c>
      <c r="L129" s="75">
        <f t="shared" si="207"/>
        <v>16500</v>
      </c>
      <c r="N129" s="61">
        <f>250*N63</f>
        <v>29750</v>
      </c>
      <c r="O129" s="61">
        <f t="shared" ref="O129:P129" si="226">250*O63</f>
        <v>7000</v>
      </c>
      <c r="P129" s="61">
        <f t="shared" si="226"/>
        <v>0</v>
      </c>
      <c r="Q129" s="61">
        <f>250*Q63</f>
        <v>0</v>
      </c>
      <c r="R129" s="75">
        <f t="shared" si="209"/>
        <v>36750</v>
      </c>
      <c r="T129" s="61">
        <f>250*T63</f>
        <v>6875</v>
      </c>
      <c r="U129" s="61">
        <f t="shared" ref="U129:V129" si="227">250*U63</f>
        <v>1500</v>
      </c>
      <c r="V129" s="61">
        <f t="shared" si="227"/>
        <v>0</v>
      </c>
      <c r="W129" s="61">
        <f>250*W63</f>
        <v>0</v>
      </c>
      <c r="X129" s="75">
        <f t="shared" si="211"/>
        <v>8375</v>
      </c>
      <c r="Y129" s="194"/>
      <c r="Z129" s="61">
        <f>250*Z63</f>
        <v>12875</v>
      </c>
      <c r="AA129" s="61">
        <f t="shared" ref="AA129:AB129" si="228">250*AA63</f>
        <v>3000</v>
      </c>
      <c r="AB129" s="61">
        <f t="shared" si="228"/>
        <v>0</v>
      </c>
      <c r="AC129" s="61">
        <f>250*AC63</f>
        <v>0</v>
      </c>
      <c r="AD129" s="75">
        <f t="shared" si="213"/>
        <v>15875</v>
      </c>
      <c r="AE129" s="194"/>
      <c r="AF129" s="61">
        <f>250*AF63</f>
        <v>12250</v>
      </c>
      <c r="AG129" s="61">
        <f t="shared" ref="AG129" si="229">250*AG63</f>
        <v>2750</v>
      </c>
      <c r="AH129" s="61">
        <v>0</v>
      </c>
      <c r="AI129" s="61">
        <f>250*AI63</f>
        <v>0</v>
      </c>
      <c r="AJ129" s="75">
        <f t="shared" si="215"/>
        <v>15000</v>
      </c>
      <c r="AL129" s="61">
        <f>250*AL63</f>
        <v>250</v>
      </c>
      <c r="AM129" s="61">
        <f t="shared" ref="AM129:AN129" si="230">250*AM63</f>
        <v>0</v>
      </c>
      <c r="AN129" s="61">
        <f t="shared" si="230"/>
        <v>0</v>
      </c>
      <c r="AO129" s="61">
        <f>250*AO63</f>
        <v>6250</v>
      </c>
      <c r="AP129" s="75">
        <f t="shared" si="217"/>
        <v>6500</v>
      </c>
      <c r="AR129" s="75">
        <f t="shared" si="218"/>
        <v>90375</v>
      </c>
      <c r="AS129" s="75">
        <f t="shared" si="203"/>
        <v>19125</v>
      </c>
      <c r="AT129" s="75">
        <f t="shared" si="203"/>
        <v>0</v>
      </c>
      <c r="AU129" s="75">
        <f t="shared" si="203"/>
        <v>6250</v>
      </c>
      <c r="AV129" s="75">
        <f t="shared" si="219"/>
        <v>115750</v>
      </c>
    </row>
    <row r="130" spans="1:48" x14ac:dyDescent="0.25">
      <c r="A130" s="21" t="s">
        <v>98</v>
      </c>
      <c r="B130" s="63">
        <v>125000</v>
      </c>
      <c r="C130" s="63"/>
      <c r="D130" s="63"/>
      <c r="E130" s="63"/>
      <c r="F130" s="75">
        <f t="shared" si="205"/>
        <v>125000</v>
      </c>
      <c r="H130" s="63">
        <v>50000</v>
      </c>
      <c r="I130" s="63"/>
      <c r="J130" s="63"/>
      <c r="K130" s="63"/>
      <c r="L130" s="75">
        <f t="shared" si="207"/>
        <v>50000</v>
      </c>
      <c r="N130" s="63">
        <v>20000</v>
      </c>
      <c r="O130" s="63"/>
      <c r="P130" s="63"/>
      <c r="Q130" s="63"/>
      <c r="R130" s="75">
        <f t="shared" si="209"/>
        <v>20000</v>
      </c>
      <c r="T130" s="63">
        <v>0</v>
      </c>
      <c r="U130" s="63"/>
      <c r="V130" s="63"/>
      <c r="W130" s="63"/>
      <c r="X130" s="75">
        <f t="shared" si="211"/>
        <v>0</v>
      </c>
      <c r="Y130" s="194"/>
      <c r="Z130" s="63">
        <v>0</v>
      </c>
      <c r="AA130" s="63"/>
      <c r="AB130" s="63"/>
      <c r="AC130" s="63"/>
      <c r="AD130" s="75">
        <f t="shared" si="213"/>
        <v>0</v>
      </c>
      <c r="AE130" s="194"/>
      <c r="AF130" s="63"/>
      <c r="AG130" s="63"/>
      <c r="AH130" s="63"/>
      <c r="AI130" s="63"/>
      <c r="AJ130" s="75">
        <f t="shared" si="215"/>
        <v>0</v>
      </c>
      <c r="AL130" s="63"/>
      <c r="AM130" s="63"/>
      <c r="AN130" s="63"/>
      <c r="AO130" s="63"/>
      <c r="AP130" s="75">
        <f t="shared" si="217"/>
        <v>0</v>
      </c>
      <c r="AR130" s="75">
        <f t="shared" si="218"/>
        <v>195000</v>
      </c>
      <c r="AS130" s="75">
        <f t="shared" si="203"/>
        <v>0</v>
      </c>
      <c r="AT130" s="75">
        <f t="shared" si="203"/>
        <v>0</v>
      </c>
      <c r="AU130" s="75">
        <f t="shared" si="203"/>
        <v>0</v>
      </c>
      <c r="AV130" s="75">
        <f t="shared" si="219"/>
        <v>195000</v>
      </c>
    </row>
    <row r="131" spans="1:48" x14ac:dyDescent="0.25">
      <c r="A131" s="22" t="s">
        <v>94</v>
      </c>
      <c r="B131" s="64">
        <v>8500</v>
      </c>
      <c r="C131" s="64"/>
      <c r="D131" s="64"/>
      <c r="E131" s="64"/>
      <c r="F131" s="75">
        <f t="shared" si="205"/>
        <v>8500</v>
      </c>
      <c r="H131" s="64">
        <v>8500</v>
      </c>
      <c r="I131" s="64"/>
      <c r="J131" s="64"/>
      <c r="K131" s="64"/>
      <c r="L131" s="75">
        <f t="shared" si="207"/>
        <v>8500</v>
      </c>
      <c r="N131" s="64">
        <v>25000</v>
      </c>
      <c r="O131" s="64"/>
      <c r="P131" s="64"/>
      <c r="Q131" s="64"/>
      <c r="R131" s="75">
        <f t="shared" si="209"/>
        <v>25000</v>
      </c>
      <c r="T131" s="64">
        <v>8000</v>
      </c>
      <c r="U131" s="64"/>
      <c r="V131" s="64"/>
      <c r="W131" s="64"/>
      <c r="X131" s="75">
        <f t="shared" si="211"/>
        <v>8000</v>
      </c>
      <c r="Y131" s="194"/>
      <c r="Z131" s="64">
        <v>8000</v>
      </c>
      <c r="AA131" s="64"/>
      <c r="AB131" s="64"/>
      <c r="AC131" s="64"/>
      <c r="AD131" s="75">
        <f t="shared" si="213"/>
        <v>8000</v>
      </c>
      <c r="AE131" s="194"/>
      <c r="AF131" s="64">
        <v>12500</v>
      </c>
      <c r="AG131" s="64"/>
      <c r="AH131" s="64"/>
      <c r="AI131" s="64"/>
      <c r="AJ131" s="75">
        <f t="shared" si="215"/>
        <v>12500</v>
      </c>
      <c r="AL131" s="64"/>
      <c r="AM131" s="64"/>
      <c r="AN131" s="64"/>
      <c r="AO131" s="64"/>
      <c r="AP131" s="75">
        <f t="shared" si="217"/>
        <v>0</v>
      </c>
      <c r="AR131" s="75">
        <f t="shared" si="218"/>
        <v>70500</v>
      </c>
      <c r="AS131" s="75">
        <f t="shared" si="203"/>
        <v>0</v>
      </c>
      <c r="AT131" s="75">
        <f t="shared" si="203"/>
        <v>0</v>
      </c>
      <c r="AU131" s="75">
        <f t="shared" si="203"/>
        <v>0</v>
      </c>
      <c r="AV131" s="75">
        <f t="shared" si="219"/>
        <v>70500</v>
      </c>
    </row>
    <row r="132" spans="1:48" x14ac:dyDescent="0.25">
      <c r="A132" s="27"/>
      <c r="B132" s="76">
        <f>SUM(B126:B131)</f>
        <v>2474099.1906208377</v>
      </c>
      <c r="C132" s="76">
        <f t="shared" ref="C132:F132" si="231">SUM(C126:C131)</f>
        <v>343178</v>
      </c>
      <c r="D132" s="76">
        <f t="shared" si="231"/>
        <v>0</v>
      </c>
      <c r="E132" s="76">
        <f t="shared" si="231"/>
        <v>0</v>
      </c>
      <c r="F132" s="76">
        <f t="shared" si="231"/>
        <v>2817277.1906208377</v>
      </c>
      <c r="H132" s="76">
        <f>SUM(H126:H131)</f>
        <v>2319982.0650184313</v>
      </c>
      <c r="I132" s="76">
        <f t="shared" ref="I132:L132" si="232">SUM(I126:I131)</f>
        <v>310631.23749999999</v>
      </c>
      <c r="J132" s="76">
        <f t="shared" si="232"/>
        <v>0</v>
      </c>
      <c r="K132" s="76">
        <f t="shared" si="232"/>
        <v>0</v>
      </c>
      <c r="L132" s="76">
        <f t="shared" si="232"/>
        <v>2630613.3025184311</v>
      </c>
      <c r="N132" s="76">
        <f>SUM(N126:N131)</f>
        <v>4952514.2350029293</v>
      </c>
      <c r="O132" s="76">
        <f t="shared" ref="O132:R132" si="233">SUM(O126:O131)</f>
        <v>942695.9</v>
      </c>
      <c r="P132" s="76">
        <f t="shared" si="233"/>
        <v>0</v>
      </c>
      <c r="Q132" s="76">
        <f t="shared" si="233"/>
        <v>0</v>
      </c>
      <c r="R132" s="76">
        <f t="shared" si="233"/>
        <v>5895210.1350029288</v>
      </c>
      <c r="T132" s="76">
        <f>SUM(T126:T131)</f>
        <v>1018158.4987460001</v>
      </c>
      <c r="U132" s="76">
        <f t="shared" ref="U132:X132" si="234">SUM(U126:U131)</f>
        <v>191840.8</v>
      </c>
      <c r="V132" s="76">
        <f t="shared" si="234"/>
        <v>0</v>
      </c>
      <c r="W132" s="76">
        <f t="shared" si="234"/>
        <v>0</v>
      </c>
      <c r="X132" s="76">
        <f t="shared" si="234"/>
        <v>1209999.298746</v>
      </c>
      <c r="Y132" s="199"/>
      <c r="Z132" s="76">
        <f>SUM(Z126:Z131)</f>
        <v>1945546.5041999999</v>
      </c>
      <c r="AA132" s="76">
        <f t="shared" ref="AA132:AD132" si="235">SUM(AA126:AA131)</f>
        <v>386768.05</v>
      </c>
      <c r="AB132" s="76">
        <f t="shared" si="235"/>
        <v>0</v>
      </c>
      <c r="AC132" s="76">
        <f t="shared" si="235"/>
        <v>0</v>
      </c>
      <c r="AD132" s="76">
        <f t="shared" si="235"/>
        <v>2332314.5542000001</v>
      </c>
      <c r="AE132" s="199"/>
      <c r="AF132" s="76">
        <f>SUM(AF126:AF131)</f>
        <v>1821921.1465</v>
      </c>
      <c r="AG132" s="76">
        <f t="shared" ref="AG132:AJ132" si="236">SUM(AG126:AG131)</f>
        <v>346639.57500000001</v>
      </c>
      <c r="AH132" s="76">
        <f t="shared" si="236"/>
        <v>0</v>
      </c>
      <c r="AI132" s="76">
        <f t="shared" si="236"/>
        <v>0</v>
      </c>
      <c r="AJ132" s="76">
        <f t="shared" si="236"/>
        <v>2168560.7215</v>
      </c>
      <c r="AL132" s="76">
        <f>SUM(AL126:AL131)</f>
        <v>28260.968514375003</v>
      </c>
      <c r="AM132" s="76">
        <f t="shared" ref="AM132:AP132" si="237">SUM(AM126:AM131)</f>
        <v>0</v>
      </c>
      <c r="AN132" s="76">
        <f t="shared" si="237"/>
        <v>0</v>
      </c>
      <c r="AO132" s="76">
        <f t="shared" si="237"/>
        <v>585237.5</v>
      </c>
      <c r="AP132" s="76">
        <f t="shared" si="237"/>
        <v>613498.46851437504</v>
      </c>
      <c r="AR132" s="76">
        <f>SUM(AR126:AR131)</f>
        <v>14560482.608602574</v>
      </c>
      <c r="AS132" s="76">
        <f t="shared" ref="AS132:AV132" si="238">SUM(AS126:AS131)</f>
        <v>2521753.5625</v>
      </c>
      <c r="AT132" s="76">
        <f t="shared" si="238"/>
        <v>0</v>
      </c>
      <c r="AU132" s="76">
        <f t="shared" si="238"/>
        <v>585237.5</v>
      </c>
      <c r="AV132" s="76">
        <f t="shared" si="238"/>
        <v>17667473.671102576</v>
      </c>
    </row>
    <row r="133" spans="1:48" x14ac:dyDescent="0.25">
      <c r="B133" s="79"/>
      <c r="C133" s="79"/>
      <c r="D133" s="79"/>
      <c r="E133" s="79"/>
      <c r="F133" s="79"/>
      <c r="H133" s="79"/>
      <c r="I133" s="79"/>
      <c r="J133" s="79"/>
      <c r="K133" s="79"/>
      <c r="L133" s="79"/>
      <c r="N133" s="79"/>
      <c r="O133" s="79"/>
      <c r="P133" s="79"/>
      <c r="Q133" s="79"/>
      <c r="R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L133" s="79"/>
      <c r="AM133" s="79"/>
      <c r="AN133" s="79"/>
      <c r="AO133" s="79"/>
      <c r="AP133" s="79"/>
      <c r="AR133" s="79"/>
      <c r="AS133" s="79"/>
      <c r="AT133" s="79"/>
      <c r="AU133" s="79"/>
      <c r="AV133" s="79"/>
    </row>
    <row r="134" spans="1:48" x14ac:dyDescent="0.25">
      <c r="A134" s="28"/>
      <c r="B134" s="78" t="s">
        <v>157</v>
      </c>
      <c r="C134" s="78" t="s">
        <v>158</v>
      </c>
      <c r="D134" s="78" t="s">
        <v>159</v>
      </c>
      <c r="E134" s="78" t="str">
        <f>E118</f>
        <v>Other</v>
      </c>
      <c r="F134" s="78" t="str">
        <f>F118</f>
        <v>FY30- Mtn</v>
      </c>
      <c r="H134" s="78" t="s">
        <v>157</v>
      </c>
      <c r="I134" s="78" t="s">
        <v>158</v>
      </c>
      <c r="J134" s="78" t="s">
        <v>159</v>
      </c>
      <c r="K134" s="78" t="str">
        <f>K118</f>
        <v>Other</v>
      </c>
      <c r="L134" s="78" t="str">
        <f>L118</f>
        <v>FY30- Bon</v>
      </c>
      <c r="N134" s="78" t="s">
        <v>157</v>
      </c>
      <c r="O134" s="78" t="s">
        <v>158</v>
      </c>
      <c r="P134" s="78" t="s">
        <v>159</v>
      </c>
      <c r="Q134" s="78" t="str">
        <f>Q118</f>
        <v>Other</v>
      </c>
      <c r="R134" s="78" t="str">
        <f>R118</f>
        <v>FY30- East</v>
      </c>
      <c r="T134" s="78" t="s">
        <v>157</v>
      </c>
      <c r="U134" s="78" t="s">
        <v>158</v>
      </c>
      <c r="V134" s="78" t="s">
        <v>159</v>
      </c>
      <c r="W134" s="78" t="str">
        <f>W118</f>
        <v>Other</v>
      </c>
      <c r="X134" s="78" t="str">
        <f>X118</f>
        <v>FY30- Cactus</v>
      </c>
      <c r="Y134" s="201"/>
      <c r="Z134" s="78" t="s">
        <v>157</v>
      </c>
      <c r="AA134" s="78" t="s">
        <v>158</v>
      </c>
      <c r="AB134" s="78" t="s">
        <v>159</v>
      </c>
      <c r="AC134" s="78" t="str">
        <f>AC118</f>
        <v>Other</v>
      </c>
      <c r="AD134" s="78" t="str">
        <f>AD118</f>
        <v>FY30- Sahara</v>
      </c>
      <c r="AE134" s="201"/>
      <c r="AF134" s="78" t="s">
        <v>157</v>
      </c>
      <c r="AG134" s="78" t="s">
        <v>158</v>
      </c>
      <c r="AH134" s="78" t="s">
        <v>159</v>
      </c>
      <c r="AI134" s="78" t="str">
        <f>AI118</f>
        <v>Other</v>
      </c>
      <c r="AJ134" s="78" t="str">
        <f>AJ118</f>
        <v>FY30- VV</v>
      </c>
      <c r="AL134" s="78" t="s">
        <v>157</v>
      </c>
      <c r="AM134" s="78" t="s">
        <v>158</v>
      </c>
      <c r="AN134" s="78" t="s">
        <v>159</v>
      </c>
      <c r="AO134" s="78" t="str">
        <f>AO118</f>
        <v>Grant</v>
      </c>
      <c r="AP134" s="78" t="str">
        <f>AP118</f>
        <v>FY30 - Central</v>
      </c>
      <c r="AR134" s="78" t="s">
        <v>157</v>
      </c>
      <c r="AS134" s="78" t="s">
        <v>158</v>
      </c>
      <c r="AT134" s="78" t="s">
        <v>159</v>
      </c>
      <c r="AU134" s="78" t="str">
        <f>AU118</f>
        <v>Other</v>
      </c>
      <c r="AV134" s="78" t="str">
        <f>AV118</f>
        <v>FY29- Sys</v>
      </c>
    </row>
    <row r="135" spans="1:48" x14ac:dyDescent="0.25">
      <c r="A135" s="30" t="s">
        <v>99</v>
      </c>
      <c r="B135" s="75">
        <f>(255*1050)</f>
        <v>267750</v>
      </c>
      <c r="C135" s="75"/>
      <c r="D135" s="75"/>
      <c r="E135" s="75"/>
      <c r="F135" s="75">
        <f>SUM(B135:E135)</f>
        <v>267750</v>
      </c>
      <c r="H135" s="75">
        <f>(255*1050)</f>
        <v>267750</v>
      </c>
      <c r="I135" s="75"/>
      <c r="J135" s="75"/>
      <c r="K135" s="75"/>
      <c r="L135" s="75">
        <f>SUM(H135:K135)</f>
        <v>267750</v>
      </c>
      <c r="N135" s="75">
        <f>(255*2550)</f>
        <v>650250</v>
      </c>
      <c r="O135" s="75"/>
      <c r="P135" s="75"/>
      <c r="Q135" s="75"/>
      <c r="R135" s="75">
        <f>SUM(N135:Q135)</f>
        <v>650250</v>
      </c>
      <c r="T135" s="75">
        <f>(265*500)</f>
        <v>132500</v>
      </c>
      <c r="U135" s="75"/>
      <c r="V135" s="75"/>
      <c r="W135" s="75"/>
      <c r="X135" s="75">
        <f>SUM(T135:W135)</f>
        <v>132500</v>
      </c>
      <c r="Y135" s="194"/>
      <c r="Z135" s="75">
        <f>(255*Z17)</f>
        <v>291720</v>
      </c>
      <c r="AA135" s="75"/>
      <c r="AB135" s="75"/>
      <c r="AC135" s="75"/>
      <c r="AD135" s="75">
        <f>SUM(Z135:AC135)</f>
        <v>291720</v>
      </c>
      <c r="AE135" s="194"/>
      <c r="AF135" s="75">
        <f>(255*1050)</f>
        <v>267750</v>
      </c>
      <c r="AG135" s="75"/>
      <c r="AH135" s="75"/>
      <c r="AI135" s="75"/>
      <c r="AJ135" s="75">
        <f>SUM(AF135:AI135)</f>
        <v>267750</v>
      </c>
      <c r="AL135" s="75"/>
      <c r="AM135" s="75"/>
      <c r="AN135" s="75"/>
      <c r="AO135" s="75"/>
      <c r="AP135" s="75">
        <f>SUM(AL135:AO135)</f>
        <v>0</v>
      </c>
      <c r="AR135" s="75">
        <f>B135+H135+N135+T135+AL135+AF135+Z135</f>
        <v>1877720</v>
      </c>
      <c r="AS135" s="75">
        <f t="shared" ref="AS135:AU140" si="239">C135+I135+O135+U135+AM135+AG135+AA135</f>
        <v>0</v>
      </c>
      <c r="AT135" s="75">
        <f t="shared" si="239"/>
        <v>0</v>
      </c>
      <c r="AU135" s="75">
        <f t="shared" si="239"/>
        <v>0</v>
      </c>
      <c r="AV135" s="75">
        <f>SUM(AR135:AU135)</f>
        <v>1877720</v>
      </c>
    </row>
    <row r="136" spans="1:48" x14ac:dyDescent="0.25">
      <c r="A136" s="31" t="s">
        <v>100</v>
      </c>
      <c r="B136" s="63"/>
      <c r="C136" s="63"/>
      <c r="D136" s="63"/>
      <c r="E136" s="63"/>
      <c r="F136" s="75">
        <f t="shared" ref="F136:F140" si="240">SUM(B136:E136)</f>
        <v>0</v>
      </c>
      <c r="H136" s="63"/>
      <c r="I136" s="63"/>
      <c r="J136" s="63"/>
      <c r="K136" s="63"/>
      <c r="L136" s="75">
        <f t="shared" ref="L136:L140" si="241">SUM(H136:K136)</f>
        <v>0</v>
      </c>
      <c r="N136" s="63">
        <v>325000</v>
      </c>
      <c r="O136" s="63"/>
      <c r="P136" s="63"/>
      <c r="Q136" s="63"/>
      <c r="R136" s="75">
        <f t="shared" ref="R136:R140" si="242">SUM(N136:Q136)</f>
        <v>325000</v>
      </c>
      <c r="T136" s="63"/>
      <c r="U136" s="63"/>
      <c r="V136" s="63"/>
      <c r="W136" s="63"/>
      <c r="X136" s="75">
        <f t="shared" ref="X136:X140" si="243">SUM(T136:W136)</f>
        <v>0</v>
      </c>
      <c r="Y136" s="194"/>
      <c r="Z136" s="63"/>
      <c r="AA136" s="63"/>
      <c r="AB136" s="63"/>
      <c r="AC136" s="63"/>
      <c r="AD136" s="75">
        <f t="shared" ref="AD136:AD140" si="244">SUM(Z136:AC136)</f>
        <v>0</v>
      </c>
      <c r="AE136" s="194"/>
      <c r="AF136" s="63"/>
      <c r="AG136" s="63"/>
      <c r="AH136" s="63"/>
      <c r="AI136" s="63"/>
      <c r="AJ136" s="75">
        <f t="shared" ref="AJ136:AJ140" si="245">SUM(AF136:AI136)</f>
        <v>0</v>
      </c>
      <c r="AL136" s="63"/>
      <c r="AM136" s="63"/>
      <c r="AN136" s="63"/>
      <c r="AO136" s="63"/>
      <c r="AP136" s="75">
        <f t="shared" ref="AP136:AP140" si="246">SUM(AL136:AO136)</f>
        <v>0</v>
      </c>
      <c r="AR136" s="75">
        <f t="shared" ref="AR136:AR140" si="247">B136+H136+N136+T136+AL136+AF136+Z136</f>
        <v>325000</v>
      </c>
      <c r="AS136" s="75">
        <f t="shared" si="239"/>
        <v>0</v>
      </c>
      <c r="AT136" s="75">
        <f t="shared" si="239"/>
        <v>0</v>
      </c>
      <c r="AU136" s="75">
        <f t="shared" si="239"/>
        <v>0</v>
      </c>
      <c r="AV136" s="75">
        <f t="shared" ref="AV136:AV140" si="248">SUM(AR136:AU136)</f>
        <v>325000</v>
      </c>
    </row>
    <row r="137" spans="1:48" x14ac:dyDescent="0.25">
      <c r="A137" s="32" t="s">
        <v>101</v>
      </c>
      <c r="B137" s="63"/>
      <c r="C137" s="63"/>
      <c r="D137" s="63"/>
      <c r="E137" s="63"/>
      <c r="F137" s="75">
        <f t="shared" si="240"/>
        <v>0</v>
      </c>
      <c r="H137" s="63"/>
      <c r="I137" s="63"/>
      <c r="J137" s="63"/>
      <c r="K137" s="63"/>
      <c r="L137" s="75">
        <f t="shared" si="241"/>
        <v>0</v>
      </c>
      <c r="N137" s="63">
        <v>75000</v>
      </c>
      <c r="O137" s="63"/>
      <c r="P137" s="63"/>
      <c r="Q137" s="63"/>
      <c r="R137" s="75">
        <f t="shared" si="242"/>
        <v>75000</v>
      </c>
      <c r="T137" s="63"/>
      <c r="U137" s="63"/>
      <c r="V137" s="63"/>
      <c r="W137" s="63"/>
      <c r="X137" s="75">
        <f t="shared" si="243"/>
        <v>0</v>
      </c>
      <c r="Y137" s="194"/>
      <c r="Z137" s="63"/>
      <c r="AA137" s="63"/>
      <c r="AB137" s="63"/>
      <c r="AC137" s="63"/>
      <c r="AD137" s="75">
        <f t="shared" si="244"/>
        <v>0</v>
      </c>
      <c r="AE137" s="194"/>
      <c r="AF137" s="63">
        <v>200000</v>
      </c>
      <c r="AG137" s="63"/>
      <c r="AH137" s="63"/>
      <c r="AI137" s="63"/>
      <c r="AJ137" s="75">
        <f t="shared" si="245"/>
        <v>200000</v>
      </c>
      <c r="AL137" s="63"/>
      <c r="AM137" s="63"/>
      <c r="AN137" s="63"/>
      <c r="AO137" s="63"/>
      <c r="AP137" s="75">
        <f t="shared" si="246"/>
        <v>0</v>
      </c>
      <c r="AR137" s="75">
        <f t="shared" si="247"/>
        <v>275000</v>
      </c>
      <c r="AS137" s="75">
        <f t="shared" si="239"/>
        <v>0</v>
      </c>
      <c r="AT137" s="75">
        <f t="shared" si="239"/>
        <v>0</v>
      </c>
      <c r="AU137" s="75">
        <f t="shared" si="239"/>
        <v>0</v>
      </c>
      <c r="AV137" s="75">
        <f t="shared" si="248"/>
        <v>275000</v>
      </c>
    </row>
    <row r="138" spans="1:48" x14ac:dyDescent="0.25">
      <c r="A138" s="32" t="s">
        <v>102</v>
      </c>
      <c r="B138" s="63">
        <f>39*B17</f>
        <v>40092</v>
      </c>
      <c r="C138" s="63"/>
      <c r="D138" s="63"/>
      <c r="E138" s="63"/>
      <c r="F138" s="75">
        <f t="shared" si="240"/>
        <v>40092</v>
      </c>
      <c r="H138" s="63">
        <f>39*H17</f>
        <v>40092</v>
      </c>
      <c r="I138" s="63"/>
      <c r="J138" s="63"/>
      <c r="K138" s="63"/>
      <c r="L138" s="75">
        <f t="shared" si="241"/>
        <v>40092</v>
      </c>
      <c r="N138" s="63">
        <f>39*N17</f>
        <v>98280</v>
      </c>
      <c r="O138" s="63"/>
      <c r="P138" s="63"/>
      <c r="Q138" s="63"/>
      <c r="R138" s="75">
        <f t="shared" si="242"/>
        <v>98280</v>
      </c>
      <c r="T138" s="63">
        <f>42*T17</f>
        <v>22638</v>
      </c>
      <c r="U138" s="63"/>
      <c r="V138" s="63"/>
      <c r="W138" s="63"/>
      <c r="X138" s="75">
        <f t="shared" si="243"/>
        <v>22638</v>
      </c>
      <c r="Y138" s="194"/>
      <c r="Z138" s="63">
        <f>39*Z17</f>
        <v>44616</v>
      </c>
      <c r="AA138" s="63"/>
      <c r="AB138" s="63"/>
      <c r="AC138" s="63"/>
      <c r="AD138" s="75">
        <f t="shared" si="244"/>
        <v>44616</v>
      </c>
      <c r="AE138" s="194"/>
      <c r="AF138" s="63">
        <f>41*AF17</f>
        <v>42763</v>
      </c>
      <c r="AG138" s="63"/>
      <c r="AH138" s="63"/>
      <c r="AI138" s="63"/>
      <c r="AJ138" s="75">
        <f t="shared" si="245"/>
        <v>42763</v>
      </c>
      <c r="AL138" s="63">
        <f>35*AL17</f>
        <v>0</v>
      </c>
      <c r="AM138" s="63"/>
      <c r="AN138" s="63"/>
      <c r="AO138" s="63"/>
      <c r="AP138" s="75">
        <f t="shared" si="246"/>
        <v>0</v>
      </c>
      <c r="AR138" s="75">
        <f t="shared" si="247"/>
        <v>288481</v>
      </c>
      <c r="AS138" s="75">
        <f t="shared" si="239"/>
        <v>0</v>
      </c>
      <c r="AT138" s="75">
        <f t="shared" si="239"/>
        <v>0</v>
      </c>
      <c r="AU138" s="75">
        <f t="shared" si="239"/>
        <v>0</v>
      </c>
      <c r="AV138" s="75">
        <f t="shared" si="248"/>
        <v>288481</v>
      </c>
    </row>
    <row r="139" spans="1:48" x14ac:dyDescent="0.25">
      <c r="A139" s="32" t="s">
        <v>103</v>
      </c>
      <c r="B139" s="63">
        <f>(26*B17)</f>
        <v>26728</v>
      </c>
      <c r="C139" s="63"/>
      <c r="D139" s="63"/>
      <c r="E139" s="63"/>
      <c r="F139" s="75">
        <f t="shared" si="240"/>
        <v>26728</v>
      </c>
      <c r="H139" s="63">
        <f>(26*H17)</f>
        <v>26728</v>
      </c>
      <c r="I139" s="63"/>
      <c r="J139" s="63"/>
      <c r="K139" s="63"/>
      <c r="L139" s="75">
        <f t="shared" si="241"/>
        <v>26728</v>
      </c>
      <c r="N139" s="63">
        <f>(26*N17)</f>
        <v>65520</v>
      </c>
      <c r="O139" s="63"/>
      <c r="P139" s="63"/>
      <c r="Q139" s="63"/>
      <c r="R139" s="75">
        <f t="shared" si="242"/>
        <v>65520</v>
      </c>
      <c r="T139" s="63">
        <f>(30*T17)</f>
        <v>16170</v>
      </c>
      <c r="U139" s="63"/>
      <c r="V139" s="63"/>
      <c r="W139" s="63"/>
      <c r="X139" s="75">
        <f t="shared" si="243"/>
        <v>16170</v>
      </c>
      <c r="Y139" s="194"/>
      <c r="Z139" s="63">
        <f>(26*Z17)</f>
        <v>29744</v>
      </c>
      <c r="AA139" s="63"/>
      <c r="AB139" s="63"/>
      <c r="AC139" s="63"/>
      <c r="AD139" s="75">
        <f t="shared" si="244"/>
        <v>29744</v>
      </c>
      <c r="AE139" s="194"/>
      <c r="AF139" s="63">
        <f>(28*AF17)</f>
        <v>29204</v>
      </c>
      <c r="AG139" s="63"/>
      <c r="AH139" s="63"/>
      <c r="AI139" s="63"/>
      <c r="AJ139" s="75">
        <f t="shared" si="245"/>
        <v>29204</v>
      </c>
      <c r="AL139" s="63">
        <f>(22*AL17)</f>
        <v>0</v>
      </c>
      <c r="AM139" s="63"/>
      <c r="AN139" s="63"/>
      <c r="AO139" s="63"/>
      <c r="AP139" s="75">
        <f t="shared" si="246"/>
        <v>0</v>
      </c>
      <c r="AR139" s="75">
        <f t="shared" si="247"/>
        <v>194094</v>
      </c>
      <c r="AS139" s="75">
        <f t="shared" si="239"/>
        <v>0</v>
      </c>
      <c r="AT139" s="75">
        <f t="shared" si="239"/>
        <v>0</v>
      </c>
      <c r="AU139" s="75">
        <f t="shared" si="239"/>
        <v>0</v>
      </c>
      <c r="AV139" s="75">
        <f t="shared" si="248"/>
        <v>194094</v>
      </c>
    </row>
    <row r="140" spans="1:48" x14ac:dyDescent="0.25">
      <c r="A140" s="33" t="s">
        <v>104</v>
      </c>
      <c r="B140" s="64"/>
      <c r="C140" s="64">
        <f>195*C21</f>
        <v>20475</v>
      </c>
      <c r="D140" s="64"/>
      <c r="E140" s="64"/>
      <c r="F140" s="75">
        <f t="shared" si="240"/>
        <v>20475</v>
      </c>
      <c r="H140" s="64"/>
      <c r="I140" s="64">
        <f>195*I21</f>
        <v>20475</v>
      </c>
      <c r="J140" s="64"/>
      <c r="K140" s="64"/>
      <c r="L140" s="75">
        <f t="shared" si="241"/>
        <v>20475</v>
      </c>
      <c r="N140" s="64"/>
      <c r="O140" s="64">
        <f>195*O21</f>
        <v>52650</v>
      </c>
      <c r="P140" s="64"/>
      <c r="Q140" s="64"/>
      <c r="R140" s="75">
        <f t="shared" si="242"/>
        <v>52650</v>
      </c>
      <c r="T140" s="64"/>
      <c r="U140" s="64">
        <f>225*U21</f>
        <v>13500</v>
      </c>
      <c r="V140" s="64"/>
      <c r="W140" s="64"/>
      <c r="X140" s="75">
        <f t="shared" si="243"/>
        <v>13500</v>
      </c>
      <c r="Y140" s="194"/>
      <c r="Z140" s="64"/>
      <c r="AA140" s="64">
        <f>195*AA21</f>
        <v>20085</v>
      </c>
      <c r="AB140" s="64"/>
      <c r="AC140" s="64"/>
      <c r="AD140" s="75">
        <f t="shared" si="244"/>
        <v>20085</v>
      </c>
      <c r="AE140" s="194"/>
      <c r="AF140" s="64"/>
      <c r="AG140" s="64">
        <f>220*AG21</f>
        <v>24860</v>
      </c>
      <c r="AH140" s="64"/>
      <c r="AI140" s="64"/>
      <c r="AJ140" s="75">
        <f t="shared" si="245"/>
        <v>24860</v>
      </c>
      <c r="AL140" s="64"/>
      <c r="AM140" s="64">
        <f>175*AM21</f>
        <v>0</v>
      </c>
      <c r="AN140" s="64"/>
      <c r="AO140" s="64"/>
      <c r="AP140" s="75">
        <f t="shared" si="246"/>
        <v>0</v>
      </c>
      <c r="AR140" s="75">
        <f t="shared" si="247"/>
        <v>0</v>
      </c>
      <c r="AS140" s="75">
        <f t="shared" si="239"/>
        <v>152045</v>
      </c>
      <c r="AT140" s="75">
        <f t="shared" si="239"/>
        <v>0</v>
      </c>
      <c r="AU140" s="75">
        <f t="shared" si="239"/>
        <v>0</v>
      </c>
      <c r="AV140" s="75">
        <f t="shared" si="248"/>
        <v>152045</v>
      </c>
    </row>
    <row r="141" spans="1:48" x14ac:dyDescent="0.25">
      <c r="A141" s="34"/>
      <c r="B141" s="76">
        <f>SUM(B135:B140)</f>
        <v>334570</v>
      </c>
      <c r="C141" s="76">
        <f t="shared" ref="C141:F141" si="249">SUM(C135:C140)</f>
        <v>20475</v>
      </c>
      <c r="D141" s="76">
        <f t="shared" si="249"/>
        <v>0</v>
      </c>
      <c r="E141" s="76">
        <f t="shared" si="249"/>
        <v>0</v>
      </c>
      <c r="F141" s="76">
        <f t="shared" si="249"/>
        <v>355045</v>
      </c>
      <c r="H141" s="76">
        <f>SUM(H135:H140)</f>
        <v>334570</v>
      </c>
      <c r="I141" s="76">
        <f t="shared" ref="I141:L141" si="250">SUM(I135:I140)</f>
        <v>20475</v>
      </c>
      <c r="J141" s="76">
        <f t="shared" si="250"/>
        <v>0</v>
      </c>
      <c r="K141" s="76">
        <f t="shared" si="250"/>
        <v>0</v>
      </c>
      <c r="L141" s="76">
        <f t="shared" si="250"/>
        <v>355045</v>
      </c>
      <c r="N141" s="76">
        <f>SUM(N135:N140)</f>
        <v>1214050</v>
      </c>
      <c r="O141" s="76">
        <f t="shared" ref="O141:R141" si="251">SUM(O135:O140)</f>
        <v>52650</v>
      </c>
      <c r="P141" s="76">
        <f t="shared" si="251"/>
        <v>0</v>
      </c>
      <c r="Q141" s="76">
        <f t="shared" si="251"/>
        <v>0</v>
      </c>
      <c r="R141" s="76">
        <f t="shared" si="251"/>
        <v>1266700</v>
      </c>
      <c r="T141" s="76">
        <f>SUM(T135:T140)</f>
        <v>171308</v>
      </c>
      <c r="U141" s="76">
        <f t="shared" ref="U141:X141" si="252">SUM(U135:U140)</f>
        <v>13500</v>
      </c>
      <c r="V141" s="76">
        <f t="shared" si="252"/>
        <v>0</v>
      </c>
      <c r="W141" s="76">
        <f t="shared" si="252"/>
        <v>0</v>
      </c>
      <c r="X141" s="76">
        <f t="shared" si="252"/>
        <v>184808</v>
      </c>
      <c r="Y141" s="199"/>
      <c r="Z141" s="76">
        <f>SUM(Z135:Z140)</f>
        <v>366080</v>
      </c>
      <c r="AA141" s="76">
        <f t="shared" ref="AA141:AD141" si="253">SUM(AA135:AA140)</f>
        <v>20085</v>
      </c>
      <c r="AB141" s="76">
        <f t="shared" si="253"/>
        <v>0</v>
      </c>
      <c r="AC141" s="76">
        <f t="shared" si="253"/>
        <v>0</v>
      </c>
      <c r="AD141" s="76">
        <f t="shared" si="253"/>
        <v>386165</v>
      </c>
      <c r="AE141" s="199"/>
      <c r="AF141" s="76">
        <f>SUM(AF135:AF140)</f>
        <v>539717</v>
      </c>
      <c r="AG141" s="76">
        <f t="shared" ref="AG141:AJ141" si="254">SUM(AG135:AG140)</f>
        <v>24860</v>
      </c>
      <c r="AH141" s="76">
        <f t="shared" si="254"/>
        <v>0</v>
      </c>
      <c r="AI141" s="76">
        <f t="shared" si="254"/>
        <v>0</v>
      </c>
      <c r="AJ141" s="76">
        <f t="shared" si="254"/>
        <v>564577</v>
      </c>
      <c r="AL141" s="76">
        <f>SUM(AL135:AL140)</f>
        <v>0</v>
      </c>
      <c r="AM141" s="76">
        <f t="shared" ref="AM141:AP141" si="255">SUM(AM135:AM140)</f>
        <v>0</v>
      </c>
      <c r="AN141" s="76">
        <f t="shared" si="255"/>
        <v>0</v>
      </c>
      <c r="AO141" s="76">
        <f t="shared" si="255"/>
        <v>0</v>
      </c>
      <c r="AP141" s="76">
        <f t="shared" si="255"/>
        <v>0</v>
      </c>
      <c r="AR141" s="76">
        <f>SUM(AR135:AR140)</f>
        <v>2960295</v>
      </c>
      <c r="AS141" s="76">
        <f t="shared" ref="AS141:AV141" si="256">SUM(AS135:AS140)</f>
        <v>152045</v>
      </c>
      <c r="AT141" s="76">
        <f t="shared" si="256"/>
        <v>0</v>
      </c>
      <c r="AU141" s="76">
        <f t="shared" si="256"/>
        <v>0</v>
      </c>
      <c r="AV141" s="76">
        <f t="shared" si="256"/>
        <v>3112340</v>
      </c>
    </row>
    <row r="142" spans="1:48" x14ac:dyDescent="0.25">
      <c r="B142" s="77"/>
      <c r="C142" s="77"/>
      <c r="D142" s="77"/>
      <c r="E142" s="77"/>
      <c r="F142" s="77"/>
      <c r="H142" s="77"/>
      <c r="I142" s="77"/>
      <c r="J142" s="77"/>
      <c r="K142" s="77"/>
      <c r="L142" s="77"/>
      <c r="N142" s="77"/>
      <c r="O142" s="77"/>
      <c r="P142" s="77"/>
      <c r="Q142" s="77"/>
      <c r="R142" s="77"/>
      <c r="T142" s="77"/>
      <c r="U142" s="77"/>
      <c r="V142" s="77"/>
      <c r="W142" s="77"/>
      <c r="X142" s="77"/>
      <c r="Y142" s="79"/>
      <c r="Z142" s="77"/>
      <c r="AA142" s="77"/>
      <c r="AB142" s="77"/>
      <c r="AC142" s="77"/>
      <c r="AD142" s="77"/>
      <c r="AE142" s="79"/>
      <c r="AF142" s="77"/>
      <c r="AG142" s="77"/>
      <c r="AH142" s="77"/>
      <c r="AI142" s="77"/>
      <c r="AJ142" s="77"/>
      <c r="AL142" s="77"/>
      <c r="AM142" s="77"/>
      <c r="AN142" s="77"/>
      <c r="AO142" s="77"/>
      <c r="AP142" s="77"/>
      <c r="AR142" s="77"/>
      <c r="AS142" s="77"/>
      <c r="AT142" s="77"/>
      <c r="AU142" s="77"/>
      <c r="AV142" s="77"/>
    </row>
    <row r="143" spans="1:48" x14ac:dyDescent="0.25">
      <c r="A143" s="28"/>
      <c r="B143" s="78" t="s">
        <v>157</v>
      </c>
      <c r="C143" s="78" t="s">
        <v>158</v>
      </c>
      <c r="D143" s="78" t="s">
        <v>159</v>
      </c>
      <c r="E143" s="78" t="str">
        <f>E134</f>
        <v>Other</v>
      </c>
      <c r="F143" s="78" t="str">
        <f>F134</f>
        <v>FY30- Mtn</v>
      </c>
      <c r="H143" s="78" t="s">
        <v>157</v>
      </c>
      <c r="I143" s="78" t="s">
        <v>158</v>
      </c>
      <c r="J143" s="78" t="s">
        <v>159</v>
      </c>
      <c r="K143" s="78" t="str">
        <f>K134</f>
        <v>Other</v>
      </c>
      <c r="L143" s="78" t="str">
        <f>L134</f>
        <v>FY30- Bon</v>
      </c>
      <c r="N143" s="78" t="s">
        <v>157</v>
      </c>
      <c r="O143" s="78" t="s">
        <v>158</v>
      </c>
      <c r="P143" s="78" t="s">
        <v>159</v>
      </c>
      <c r="Q143" s="78" t="str">
        <f>Q134</f>
        <v>Other</v>
      </c>
      <c r="R143" s="78" t="str">
        <f>R134</f>
        <v>FY30- East</v>
      </c>
      <c r="T143" s="78" t="s">
        <v>157</v>
      </c>
      <c r="U143" s="78" t="s">
        <v>158</v>
      </c>
      <c r="V143" s="78" t="s">
        <v>159</v>
      </c>
      <c r="W143" s="78" t="str">
        <f>W134</f>
        <v>Other</v>
      </c>
      <c r="X143" s="78" t="str">
        <f>X134</f>
        <v>FY30- Cactus</v>
      </c>
      <c r="Y143" s="201"/>
      <c r="Z143" s="78" t="s">
        <v>157</v>
      </c>
      <c r="AA143" s="78" t="s">
        <v>158</v>
      </c>
      <c r="AB143" s="78" t="s">
        <v>159</v>
      </c>
      <c r="AC143" s="78" t="str">
        <f>AC134</f>
        <v>Other</v>
      </c>
      <c r="AD143" s="78" t="str">
        <f>AD134</f>
        <v>FY30- Sahara</v>
      </c>
      <c r="AE143" s="201"/>
      <c r="AF143" s="78" t="s">
        <v>157</v>
      </c>
      <c r="AG143" s="78" t="s">
        <v>158</v>
      </c>
      <c r="AH143" s="78" t="s">
        <v>159</v>
      </c>
      <c r="AI143" s="78" t="str">
        <f>AI134</f>
        <v>Other</v>
      </c>
      <c r="AJ143" s="78" t="str">
        <f>AJ134</f>
        <v>FY30- VV</v>
      </c>
      <c r="AL143" s="78" t="s">
        <v>157</v>
      </c>
      <c r="AM143" s="78" t="s">
        <v>158</v>
      </c>
      <c r="AN143" s="78" t="s">
        <v>159</v>
      </c>
      <c r="AO143" s="78" t="str">
        <f>AO134</f>
        <v>Grant</v>
      </c>
      <c r="AP143" s="78" t="str">
        <f>AP134</f>
        <v>FY30 - Central</v>
      </c>
      <c r="AR143" s="78" t="s">
        <v>157</v>
      </c>
      <c r="AS143" s="78" t="s">
        <v>158</v>
      </c>
      <c r="AT143" s="78" t="s">
        <v>159</v>
      </c>
      <c r="AU143" s="78" t="str">
        <f>AU134</f>
        <v>Other</v>
      </c>
      <c r="AV143" s="78" t="str">
        <f>AV134</f>
        <v>FY29- Sys</v>
      </c>
    </row>
    <row r="144" spans="1:48" x14ac:dyDescent="0.25">
      <c r="A144" s="35" t="s">
        <v>105</v>
      </c>
      <c r="B144" s="75">
        <f>34*B17</f>
        <v>34952</v>
      </c>
      <c r="C144" s="75"/>
      <c r="D144" s="75"/>
      <c r="E144" s="75"/>
      <c r="F144" s="75">
        <f>SUM(B144:E144)</f>
        <v>34952</v>
      </c>
      <c r="H144" s="75">
        <f>34*H17</f>
        <v>34952</v>
      </c>
      <c r="I144" s="75"/>
      <c r="J144" s="75"/>
      <c r="K144" s="75"/>
      <c r="L144" s="75">
        <f>SUM(H144:K144)</f>
        <v>34952</v>
      </c>
      <c r="N144" s="75">
        <f>34*N17</f>
        <v>85680</v>
      </c>
      <c r="O144" s="75"/>
      <c r="P144" s="75"/>
      <c r="Q144" s="75"/>
      <c r="R144" s="75">
        <f>SUM(N144:Q144)</f>
        <v>85680</v>
      </c>
      <c r="T144" s="75">
        <f>37*T17</f>
        <v>19943</v>
      </c>
      <c r="U144" s="75"/>
      <c r="V144" s="75"/>
      <c r="W144" s="75"/>
      <c r="X144" s="75">
        <f>SUM(T144:W144)</f>
        <v>19943</v>
      </c>
      <c r="Y144" s="194"/>
      <c r="Z144" s="75">
        <f>34*Z17</f>
        <v>38896</v>
      </c>
      <c r="AA144" s="75"/>
      <c r="AB144" s="75"/>
      <c r="AC144" s="75"/>
      <c r="AD144" s="75">
        <f>SUM(Z144:AC144)</f>
        <v>38896</v>
      </c>
      <c r="AE144" s="194"/>
      <c r="AF144" s="75">
        <f>36*AF17</f>
        <v>37548</v>
      </c>
      <c r="AG144" s="75"/>
      <c r="AH144" s="75"/>
      <c r="AI144" s="75"/>
      <c r="AJ144" s="75">
        <f>SUM(AF144:AI144)</f>
        <v>37548</v>
      </c>
      <c r="AL144" s="75">
        <f>6000+250+250+250+250</f>
        <v>7000</v>
      </c>
      <c r="AM144" s="75"/>
      <c r="AN144" s="75"/>
      <c r="AO144" s="75"/>
      <c r="AP144" s="75">
        <f>SUM(AL144:AO144)</f>
        <v>7000</v>
      </c>
      <c r="AR144" s="75">
        <f>B144+H144+N144+T144+AL144+AF144+Z144</f>
        <v>258971</v>
      </c>
      <c r="AS144" s="75">
        <f t="shared" ref="AS144:AU148" si="257">C144+I144+O144+U144+AM144+AG144+AA144</f>
        <v>0</v>
      </c>
      <c r="AT144" s="75">
        <f t="shared" si="257"/>
        <v>0</v>
      </c>
      <c r="AU144" s="75">
        <f t="shared" si="257"/>
        <v>0</v>
      </c>
      <c r="AV144" s="75">
        <f>SUM(AR144:AU144)</f>
        <v>258971</v>
      </c>
    </row>
    <row r="145" spans="1:48" x14ac:dyDescent="0.25">
      <c r="A145" s="32" t="s">
        <v>103</v>
      </c>
      <c r="B145" s="63">
        <f>(4*B17)</f>
        <v>4112</v>
      </c>
      <c r="C145" s="63"/>
      <c r="D145" s="63"/>
      <c r="E145" s="63"/>
      <c r="F145" s="75">
        <f t="shared" ref="F145:F148" si="258">SUM(B145:E145)</f>
        <v>4112</v>
      </c>
      <c r="H145" s="63">
        <f>(4*H17)</f>
        <v>4112</v>
      </c>
      <c r="I145" s="63"/>
      <c r="J145" s="63"/>
      <c r="K145" s="63"/>
      <c r="L145" s="75">
        <f t="shared" ref="L145:L148" si="259">SUM(H145:K145)</f>
        <v>4112</v>
      </c>
      <c r="N145" s="63">
        <f>(4*N17)</f>
        <v>10080</v>
      </c>
      <c r="O145" s="63"/>
      <c r="P145" s="63"/>
      <c r="Q145" s="63"/>
      <c r="R145" s="75">
        <f t="shared" ref="R145:R148" si="260">SUM(N145:Q145)</f>
        <v>10080</v>
      </c>
      <c r="T145" s="63">
        <f>(7*T17)</f>
        <v>3773</v>
      </c>
      <c r="U145" s="63"/>
      <c r="V145" s="63"/>
      <c r="W145" s="63"/>
      <c r="X145" s="75">
        <f t="shared" ref="X145:X148" si="261">SUM(T145:W145)</f>
        <v>3773</v>
      </c>
      <c r="Y145" s="194"/>
      <c r="Z145" s="63">
        <f>(4*Z17)</f>
        <v>4576</v>
      </c>
      <c r="AA145" s="63"/>
      <c r="AB145" s="63"/>
      <c r="AC145" s="63"/>
      <c r="AD145" s="75">
        <f t="shared" ref="AD145:AD148" si="262">SUM(Z145:AC145)</f>
        <v>4576</v>
      </c>
      <c r="AE145" s="194"/>
      <c r="AF145" s="63">
        <f>(6*AF17)</f>
        <v>6258</v>
      </c>
      <c r="AG145" s="63"/>
      <c r="AH145" s="63"/>
      <c r="AI145" s="63"/>
      <c r="AJ145" s="75">
        <f t="shared" ref="AJ145:AJ148" si="263">SUM(AF145:AI145)</f>
        <v>6258</v>
      </c>
      <c r="AL145" s="63">
        <f>(3*AL17)</f>
        <v>0</v>
      </c>
      <c r="AM145" s="63"/>
      <c r="AN145" s="63"/>
      <c r="AO145" s="63"/>
      <c r="AP145" s="75">
        <f t="shared" ref="AP145:AP148" si="264">SUM(AL145:AO145)</f>
        <v>0</v>
      </c>
      <c r="AR145" s="75">
        <f t="shared" ref="AR145:AR148" si="265">B145+H145+N145+T145+AL145+AF145+Z145</f>
        <v>32911</v>
      </c>
      <c r="AS145" s="75">
        <f t="shared" si="257"/>
        <v>0</v>
      </c>
      <c r="AT145" s="75">
        <f t="shared" si="257"/>
        <v>0</v>
      </c>
      <c r="AU145" s="75">
        <f t="shared" si="257"/>
        <v>0</v>
      </c>
      <c r="AV145" s="75">
        <f t="shared" ref="AV145:AV148" si="266">SUM(AR145:AU145)</f>
        <v>32911</v>
      </c>
    </row>
    <row r="146" spans="1:48" x14ac:dyDescent="0.25">
      <c r="A146" s="32" t="s">
        <v>106</v>
      </c>
      <c r="B146" s="63">
        <f>10*B17</f>
        <v>10280</v>
      </c>
      <c r="C146" s="63"/>
      <c r="D146" s="63"/>
      <c r="E146" s="63"/>
      <c r="F146" s="75">
        <f t="shared" si="258"/>
        <v>10280</v>
      </c>
      <c r="H146" s="63">
        <f>10*H17</f>
        <v>10280</v>
      </c>
      <c r="I146" s="63"/>
      <c r="J146" s="63"/>
      <c r="K146" s="63"/>
      <c r="L146" s="75">
        <f t="shared" si="259"/>
        <v>10280</v>
      </c>
      <c r="N146" s="63">
        <f>10*N17</f>
        <v>25200</v>
      </c>
      <c r="O146" s="63"/>
      <c r="P146" s="63"/>
      <c r="Q146" s="63"/>
      <c r="R146" s="75">
        <f t="shared" si="260"/>
        <v>25200</v>
      </c>
      <c r="T146" s="63">
        <f>13*T17</f>
        <v>7007</v>
      </c>
      <c r="U146" s="63"/>
      <c r="V146" s="63"/>
      <c r="W146" s="63"/>
      <c r="X146" s="75">
        <f t="shared" si="261"/>
        <v>7007</v>
      </c>
      <c r="Y146" s="194"/>
      <c r="Z146" s="63">
        <f>10*Z17</f>
        <v>11440</v>
      </c>
      <c r="AA146" s="63"/>
      <c r="AB146" s="63"/>
      <c r="AC146" s="63"/>
      <c r="AD146" s="75">
        <f t="shared" si="262"/>
        <v>11440</v>
      </c>
      <c r="AE146" s="194"/>
      <c r="AF146" s="63">
        <f>12*AF17</f>
        <v>12516</v>
      </c>
      <c r="AG146" s="63"/>
      <c r="AH146" s="63"/>
      <c r="AI146" s="63"/>
      <c r="AJ146" s="75">
        <f t="shared" si="263"/>
        <v>12516</v>
      </c>
      <c r="AL146" s="63">
        <f>8*AL17</f>
        <v>0</v>
      </c>
      <c r="AM146" s="63"/>
      <c r="AN146" s="63"/>
      <c r="AO146" s="63"/>
      <c r="AP146" s="75">
        <f t="shared" si="264"/>
        <v>0</v>
      </c>
      <c r="AR146" s="75">
        <f t="shared" si="265"/>
        <v>76723</v>
      </c>
      <c r="AS146" s="75">
        <f t="shared" si="257"/>
        <v>0</v>
      </c>
      <c r="AT146" s="75">
        <f t="shared" si="257"/>
        <v>0</v>
      </c>
      <c r="AU146" s="75">
        <f t="shared" si="257"/>
        <v>0</v>
      </c>
      <c r="AV146" s="75">
        <f t="shared" si="266"/>
        <v>76723</v>
      </c>
    </row>
    <row r="147" spans="1:48" x14ac:dyDescent="0.25">
      <c r="A147" s="32" t="s">
        <v>107</v>
      </c>
      <c r="B147" s="63"/>
      <c r="C147" s="63"/>
      <c r="D147" s="63"/>
      <c r="E147" s="63"/>
      <c r="F147" s="75">
        <f t="shared" si="258"/>
        <v>0</v>
      </c>
      <c r="H147" s="63"/>
      <c r="I147" s="63"/>
      <c r="J147" s="63"/>
      <c r="K147" s="63"/>
      <c r="L147" s="75">
        <f t="shared" si="259"/>
        <v>0</v>
      </c>
      <c r="N147" s="63">
        <v>185000</v>
      </c>
      <c r="O147" s="63"/>
      <c r="P147" s="63"/>
      <c r="Q147" s="63"/>
      <c r="R147" s="75">
        <f t="shared" si="260"/>
        <v>185000</v>
      </c>
      <c r="T147" s="63"/>
      <c r="U147" s="63"/>
      <c r="V147" s="63"/>
      <c r="W147" s="63"/>
      <c r="X147" s="75">
        <f t="shared" si="261"/>
        <v>0</v>
      </c>
      <c r="Y147" s="194"/>
      <c r="Z147" s="63"/>
      <c r="AA147" s="63"/>
      <c r="AB147" s="63"/>
      <c r="AC147" s="63"/>
      <c r="AD147" s="75">
        <f t="shared" si="262"/>
        <v>0</v>
      </c>
      <c r="AE147" s="194"/>
      <c r="AF147" s="63"/>
      <c r="AG147" s="63"/>
      <c r="AH147" s="63"/>
      <c r="AI147" s="63"/>
      <c r="AJ147" s="75">
        <f t="shared" si="263"/>
        <v>0</v>
      </c>
      <c r="AL147" s="63"/>
      <c r="AM147" s="63"/>
      <c r="AN147" s="63"/>
      <c r="AO147" s="63"/>
      <c r="AP147" s="75">
        <f t="shared" si="264"/>
        <v>0</v>
      </c>
      <c r="AR147" s="75">
        <f t="shared" si="265"/>
        <v>185000</v>
      </c>
      <c r="AS147" s="75">
        <f t="shared" si="257"/>
        <v>0</v>
      </c>
      <c r="AT147" s="75">
        <f t="shared" si="257"/>
        <v>0</v>
      </c>
      <c r="AU147" s="75">
        <f t="shared" si="257"/>
        <v>0</v>
      </c>
      <c r="AV147" s="75">
        <f t="shared" si="266"/>
        <v>185000</v>
      </c>
    </row>
    <row r="148" spans="1:48" x14ac:dyDescent="0.25">
      <c r="A148" s="33" t="s">
        <v>108</v>
      </c>
      <c r="B148" s="64">
        <f>59*B17</f>
        <v>60652</v>
      </c>
      <c r="C148" s="64"/>
      <c r="D148" s="64"/>
      <c r="E148" s="64"/>
      <c r="F148" s="75">
        <f t="shared" si="258"/>
        <v>60652</v>
      </c>
      <c r="H148" s="64">
        <f>59*H17</f>
        <v>60652</v>
      </c>
      <c r="I148" s="64"/>
      <c r="J148" s="64"/>
      <c r="K148" s="64"/>
      <c r="L148" s="75">
        <f t="shared" si="259"/>
        <v>60652</v>
      </c>
      <c r="N148" s="64">
        <f>59*N17</f>
        <v>148680</v>
      </c>
      <c r="O148" s="64"/>
      <c r="P148" s="64"/>
      <c r="Q148" s="64"/>
      <c r="R148" s="75">
        <f t="shared" si="260"/>
        <v>148680</v>
      </c>
      <c r="T148" s="64">
        <f>63*T17</f>
        <v>33957</v>
      </c>
      <c r="U148" s="64"/>
      <c r="V148" s="64"/>
      <c r="W148" s="64"/>
      <c r="X148" s="75">
        <f t="shared" si="261"/>
        <v>33957</v>
      </c>
      <c r="Y148" s="194"/>
      <c r="Z148" s="64">
        <f>59*Z17</f>
        <v>67496</v>
      </c>
      <c r="AA148" s="64"/>
      <c r="AB148" s="64"/>
      <c r="AC148" s="64"/>
      <c r="AD148" s="75">
        <f t="shared" si="262"/>
        <v>67496</v>
      </c>
      <c r="AE148" s="194"/>
      <c r="AF148" s="64">
        <f>61*AF17</f>
        <v>63623</v>
      </c>
      <c r="AG148" s="64"/>
      <c r="AH148" s="64"/>
      <c r="AI148" s="64"/>
      <c r="AJ148" s="75">
        <f t="shared" si="263"/>
        <v>63623</v>
      </c>
      <c r="AL148" s="64">
        <f>50*AL17</f>
        <v>0</v>
      </c>
      <c r="AM148" s="64"/>
      <c r="AN148" s="64"/>
      <c r="AO148" s="64"/>
      <c r="AP148" s="75">
        <f t="shared" si="264"/>
        <v>0</v>
      </c>
      <c r="AR148" s="75">
        <f t="shared" si="265"/>
        <v>435060</v>
      </c>
      <c r="AS148" s="75">
        <f t="shared" si="257"/>
        <v>0</v>
      </c>
      <c r="AT148" s="75">
        <f t="shared" si="257"/>
        <v>0</v>
      </c>
      <c r="AU148" s="75">
        <f t="shared" si="257"/>
        <v>0</v>
      </c>
      <c r="AV148" s="75">
        <f t="shared" si="266"/>
        <v>435060</v>
      </c>
    </row>
    <row r="149" spans="1:48" x14ac:dyDescent="0.25">
      <c r="A149" s="34"/>
      <c r="B149" s="76">
        <f>SUM(B144:B148)</f>
        <v>109996</v>
      </c>
      <c r="C149" s="76">
        <f t="shared" ref="C149:F149" si="267">SUM(C144:C148)</f>
        <v>0</v>
      </c>
      <c r="D149" s="76">
        <f t="shared" si="267"/>
        <v>0</v>
      </c>
      <c r="E149" s="76">
        <f t="shared" si="267"/>
        <v>0</v>
      </c>
      <c r="F149" s="76">
        <f t="shared" si="267"/>
        <v>109996</v>
      </c>
      <c r="H149" s="76">
        <f>SUM(H144:H148)</f>
        <v>109996</v>
      </c>
      <c r="I149" s="76">
        <f t="shared" ref="I149:L149" si="268">SUM(I144:I148)</f>
        <v>0</v>
      </c>
      <c r="J149" s="76">
        <f t="shared" si="268"/>
        <v>0</v>
      </c>
      <c r="K149" s="76">
        <f t="shared" si="268"/>
        <v>0</v>
      </c>
      <c r="L149" s="76">
        <f t="shared" si="268"/>
        <v>109996</v>
      </c>
      <c r="N149" s="76">
        <f>SUM(N144:N148)</f>
        <v>454640</v>
      </c>
      <c r="O149" s="76">
        <f t="shared" ref="O149:R149" si="269">SUM(O144:O148)</f>
        <v>0</v>
      </c>
      <c r="P149" s="76">
        <f t="shared" si="269"/>
        <v>0</v>
      </c>
      <c r="Q149" s="76">
        <f t="shared" si="269"/>
        <v>0</v>
      </c>
      <c r="R149" s="76">
        <f t="shared" si="269"/>
        <v>454640</v>
      </c>
      <c r="T149" s="76">
        <f>SUM(T144:T148)</f>
        <v>64680</v>
      </c>
      <c r="U149" s="76">
        <f t="shared" ref="U149:X149" si="270">SUM(U144:U148)</f>
        <v>0</v>
      </c>
      <c r="V149" s="76">
        <f t="shared" si="270"/>
        <v>0</v>
      </c>
      <c r="W149" s="76">
        <f t="shared" si="270"/>
        <v>0</v>
      </c>
      <c r="X149" s="76">
        <f t="shared" si="270"/>
        <v>64680</v>
      </c>
      <c r="Y149" s="199"/>
      <c r="Z149" s="76">
        <f>SUM(Z144:Z148)</f>
        <v>122408</v>
      </c>
      <c r="AA149" s="76">
        <f t="shared" ref="AA149:AD149" si="271">SUM(AA144:AA148)</f>
        <v>0</v>
      </c>
      <c r="AB149" s="76">
        <f t="shared" si="271"/>
        <v>0</v>
      </c>
      <c r="AC149" s="76">
        <f t="shared" si="271"/>
        <v>0</v>
      </c>
      <c r="AD149" s="76">
        <f t="shared" si="271"/>
        <v>122408</v>
      </c>
      <c r="AE149" s="199"/>
      <c r="AF149" s="76">
        <f>SUM(AF144:AF148)</f>
        <v>119945</v>
      </c>
      <c r="AG149" s="76">
        <f t="shared" ref="AG149:AJ149" si="272">SUM(AG144:AG148)</f>
        <v>0</v>
      </c>
      <c r="AH149" s="76">
        <f t="shared" si="272"/>
        <v>0</v>
      </c>
      <c r="AI149" s="76">
        <f t="shared" si="272"/>
        <v>0</v>
      </c>
      <c r="AJ149" s="76">
        <f t="shared" si="272"/>
        <v>119945</v>
      </c>
      <c r="AL149" s="76">
        <f>SUM(AL144:AL148)</f>
        <v>7000</v>
      </c>
      <c r="AM149" s="76">
        <f t="shared" ref="AM149:AP149" si="273">SUM(AM144:AM148)</f>
        <v>0</v>
      </c>
      <c r="AN149" s="76">
        <f t="shared" si="273"/>
        <v>0</v>
      </c>
      <c r="AO149" s="76">
        <f t="shared" si="273"/>
        <v>0</v>
      </c>
      <c r="AP149" s="76">
        <f t="shared" si="273"/>
        <v>7000</v>
      </c>
      <c r="AR149" s="76">
        <f>SUM(AR144:AR148)</f>
        <v>988665</v>
      </c>
      <c r="AS149" s="76">
        <f t="shared" ref="AS149:AV149" si="274">SUM(AS144:AS148)</f>
        <v>0</v>
      </c>
      <c r="AT149" s="76">
        <f t="shared" si="274"/>
        <v>0</v>
      </c>
      <c r="AU149" s="76">
        <f t="shared" si="274"/>
        <v>0</v>
      </c>
      <c r="AV149" s="76">
        <f t="shared" si="274"/>
        <v>988665</v>
      </c>
    </row>
    <row r="150" spans="1:48" x14ac:dyDescent="0.25">
      <c r="B150" s="77"/>
      <c r="C150" s="77"/>
      <c r="D150" s="77"/>
      <c r="E150" s="77"/>
      <c r="F150" s="77"/>
      <c r="H150" s="77"/>
      <c r="I150" s="77"/>
      <c r="J150" s="77"/>
      <c r="K150" s="77"/>
      <c r="L150" s="77"/>
      <c r="N150" s="77"/>
      <c r="O150" s="77"/>
      <c r="P150" s="77"/>
      <c r="Q150" s="77"/>
      <c r="R150" s="77"/>
      <c r="T150" s="77"/>
      <c r="U150" s="77"/>
      <c r="V150" s="77"/>
      <c r="W150" s="77"/>
      <c r="X150" s="77"/>
      <c r="Y150" s="79"/>
      <c r="Z150" s="77"/>
      <c r="AA150" s="77"/>
      <c r="AB150" s="77"/>
      <c r="AC150" s="77"/>
      <c r="AD150" s="77"/>
      <c r="AE150" s="79"/>
      <c r="AF150" s="77"/>
      <c r="AG150" s="77"/>
      <c r="AH150" s="77"/>
      <c r="AI150" s="77"/>
      <c r="AJ150" s="77"/>
      <c r="AL150" s="77"/>
      <c r="AM150" s="77"/>
      <c r="AN150" s="77"/>
      <c r="AO150" s="77"/>
      <c r="AP150" s="77"/>
      <c r="AR150" s="77"/>
      <c r="AS150" s="77"/>
      <c r="AT150" s="77"/>
      <c r="AU150" s="77"/>
      <c r="AV150" s="77"/>
    </row>
    <row r="151" spans="1:48" x14ac:dyDescent="0.25">
      <c r="A151" s="28"/>
      <c r="B151" s="78" t="s">
        <v>157</v>
      </c>
      <c r="C151" s="78" t="s">
        <v>158</v>
      </c>
      <c r="D151" s="78" t="s">
        <v>159</v>
      </c>
      <c r="E151" s="78" t="str">
        <f>E134</f>
        <v>Other</v>
      </c>
      <c r="F151" s="78" t="str">
        <f>F134</f>
        <v>FY30- Mtn</v>
      </c>
      <c r="H151" s="78" t="s">
        <v>157</v>
      </c>
      <c r="I151" s="78" t="s">
        <v>158</v>
      </c>
      <c r="J151" s="78" t="s">
        <v>159</v>
      </c>
      <c r="K151" s="78" t="str">
        <f>K134</f>
        <v>Other</v>
      </c>
      <c r="L151" s="78" t="str">
        <f>L134</f>
        <v>FY30- Bon</v>
      </c>
      <c r="N151" s="78" t="s">
        <v>157</v>
      </c>
      <c r="O151" s="78" t="s">
        <v>158</v>
      </c>
      <c r="P151" s="78" t="s">
        <v>159</v>
      </c>
      <c r="Q151" s="78" t="str">
        <f>Q134</f>
        <v>Other</v>
      </c>
      <c r="R151" s="78" t="str">
        <f>R134</f>
        <v>FY30- East</v>
      </c>
      <c r="T151" s="78" t="s">
        <v>157</v>
      </c>
      <c r="U151" s="78" t="s">
        <v>158</v>
      </c>
      <c r="V151" s="78" t="s">
        <v>159</v>
      </c>
      <c r="W151" s="78" t="str">
        <f>W134</f>
        <v>Other</v>
      </c>
      <c r="X151" s="78" t="str">
        <f>X134</f>
        <v>FY30- Cactus</v>
      </c>
      <c r="Y151" s="201"/>
      <c r="Z151" s="78" t="s">
        <v>157</v>
      </c>
      <c r="AA151" s="78" t="s">
        <v>158</v>
      </c>
      <c r="AB151" s="78" t="s">
        <v>159</v>
      </c>
      <c r="AC151" s="78" t="str">
        <f>AC134</f>
        <v>Other</v>
      </c>
      <c r="AD151" s="78" t="str">
        <f>AD134</f>
        <v>FY30- Sahara</v>
      </c>
      <c r="AE151" s="201"/>
      <c r="AF151" s="78" t="s">
        <v>157</v>
      </c>
      <c r="AG151" s="78" t="s">
        <v>158</v>
      </c>
      <c r="AH151" s="78" t="s">
        <v>159</v>
      </c>
      <c r="AI151" s="78" t="str">
        <f>AI134</f>
        <v>Other</v>
      </c>
      <c r="AJ151" s="78" t="str">
        <f>AJ134</f>
        <v>FY30- VV</v>
      </c>
      <c r="AL151" s="78" t="s">
        <v>157</v>
      </c>
      <c r="AM151" s="78" t="s">
        <v>158</v>
      </c>
      <c r="AN151" s="78" t="s">
        <v>159</v>
      </c>
      <c r="AO151" s="78" t="str">
        <f>AO134</f>
        <v>Grant</v>
      </c>
      <c r="AP151" s="78" t="str">
        <f>AP134</f>
        <v>FY30 - Central</v>
      </c>
      <c r="AR151" s="78" t="s">
        <v>157</v>
      </c>
      <c r="AS151" s="78" t="s">
        <v>158</v>
      </c>
      <c r="AT151" s="78" t="s">
        <v>159</v>
      </c>
      <c r="AU151" s="78" t="str">
        <f>AU134</f>
        <v>Other</v>
      </c>
      <c r="AV151" s="78" t="str">
        <f>AV134</f>
        <v>FY29- Sys</v>
      </c>
    </row>
    <row r="152" spans="1:48" x14ac:dyDescent="0.25">
      <c r="A152" s="35" t="s">
        <v>109</v>
      </c>
      <c r="B152" s="75">
        <f>(6500*2)*1.02*1.02*1.03*1.02</f>
        <v>14209.575120000001</v>
      </c>
      <c r="C152" s="75"/>
      <c r="D152" s="75"/>
      <c r="E152" s="75"/>
      <c r="F152" s="75">
        <f>SUM(B152:E152)</f>
        <v>14209.575120000001</v>
      </c>
      <c r="H152" s="75">
        <f>(6500*2)*1.02*1.02*1.03*1.02</f>
        <v>14209.575120000001</v>
      </c>
      <c r="I152" s="75"/>
      <c r="J152" s="75"/>
      <c r="K152" s="75"/>
      <c r="L152" s="75">
        <f>SUM(H152:K152)</f>
        <v>14209.575120000001</v>
      </c>
      <c r="N152" s="75">
        <f>((6500*3)+5000)*1.03*1.03*1.03*1.03</f>
        <v>27574.965844999999</v>
      </c>
      <c r="O152" s="75"/>
      <c r="P152" s="75"/>
      <c r="Q152" s="75"/>
      <c r="R152" s="75">
        <f>SUM(N152:Q152)</f>
        <v>27574.965844999999</v>
      </c>
      <c r="T152" s="60">
        <v>0</v>
      </c>
      <c r="U152" s="75"/>
      <c r="V152" s="75"/>
      <c r="W152" s="75"/>
      <c r="X152" s="75">
        <f>SUM(T152:W152)</f>
        <v>0</v>
      </c>
      <c r="Y152" s="194"/>
      <c r="Z152" s="60">
        <f>(6500+6500)*1.03*1.03*1.05</f>
        <v>14481.285000000002</v>
      </c>
      <c r="AA152" s="75"/>
      <c r="AB152" s="75"/>
      <c r="AC152" s="75"/>
      <c r="AD152" s="75">
        <f>SUM(Z152:AC152)</f>
        <v>14481.285000000002</v>
      </c>
      <c r="AE152" s="194"/>
      <c r="AF152" s="60">
        <v>0</v>
      </c>
      <c r="AG152" s="75"/>
      <c r="AH152" s="75"/>
      <c r="AI152" s="75"/>
      <c r="AJ152" s="75">
        <f>SUM(AF152:AI152)</f>
        <v>0</v>
      </c>
      <c r="AL152" s="60">
        <v>0</v>
      </c>
      <c r="AM152" s="75"/>
      <c r="AN152" s="75"/>
      <c r="AO152" s="75">
        <v>6500</v>
      </c>
      <c r="AP152" s="75">
        <f>SUM(AL152:AO152)</f>
        <v>6500</v>
      </c>
      <c r="AR152" s="60">
        <f>B152+H152+N152+T152+AL152+AF152+Z152</f>
        <v>70475.401085000005</v>
      </c>
      <c r="AS152" s="60">
        <f t="shared" ref="AS152:AU158" si="275">C152+I152+O152+U152+AM152+AG152+AA152</f>
        <v>0</v>
      </c>
      <c r="AT152" s="60">
        <f t="shared" si="275"/>
        <v>0</v>
      </c>
      <c r="AU152" s="60">
        <f t="shared" si="275"/>
        <v>6500</v>
      </c>
      <c r="AV152" s="75">
        <f>SUM(AR152:AU152)</f>
        <v>76975.401085000005</v>
      </c>
    </row>
    <row r="153" spans="1:48" x14ac:dyDescent="0.25">
      <c r="A153" s="32" t="s">
        <v>110</v>
      </c>
      <c r="B153" s="63"/>
      <c r="C153" s="63">
        <f>(85*B17)</f>
        <v>87380</v>
      </c>
      <c r="D153" s="63"/>
      <c r="E153" s="63"/>
      <c r="F153" s="75">
        <f t="shared" ref="F153:F158" si="276">SUM(B153:E153)</f>
        <v>87380</v>
      </c>
      <c r="H153" s="63"/>
      <c r="I153" s="63">
        <f>(85*H17)</f>
        <v>87380</v>
      </c>
      <c r="J153" s="63"/>
      <c r="K153" s="63"/>
      <c r="L153" s="75">
        <f t="shared" ref="L153:L158" si="277">SUM(H153:K153)</f>
        <v>87380</v>
      </c>
      <c r="N153" s="63"/>
      <c r="O153" s="63">
        <f>(85*N17)</f>
        <v>214200</v>
      </c>
      <c r="P153" s="63"/>
      <c r="Q153" s="63"/>
      <c r="R153" s="75">
        <f t="shared" ref="R153:R158" si="278">SUM(N153:Q153)</f>
        <v>214200</v>
      </c>
      <c r="T153" s="63"/>
      <c r="U153" s="61">
        <f>(245*T17)</f>
        <v>132055</v>
      </c>
      <c r="V153" s="63"/>
      <c r="W153" s="63"/>
      <c r="X153" s="75">
        <f t="shared" ref="X153:X158" si="279">SUM(T153:W153)</f>
        <v>132055</v>
      </c>
      <c r="Y153" s="194"/>
      <c r="Z153" s="63"/>
      <c r="AA153" s="61">
        <f>(235*Z17)</f>
        <v>268840</v>
      </c>
      <c r="AB153" s="63"/>
      <c r="AC153" s="63"/>
      <c r="AD153" s="75">
        <f t="shared" ref="AD153:AD158" si="280">SUM(Z153:AC153)</f>
        <v>268840</v>
      </c>
      <c r="AE153" s="194"/>
      <c r="AF153" s="63"/>
      <c r="AG153" s="61">
        <f>(245*AF17)</f>
        <v>255535</v>
      </c>
      <c r="AH153" s="63"/>
      <c r="AI153" s="63"/>
      <c r="AJ153" s="75">
        <f t="shared" ref="AJ153:AJ158" si="281">SUM(AF153:AI153)</f>
        <v>255535</v>
      </c>
      <c r="AL153" s="63"/>
      <c r="AM153" s="63"/>
      <c r="AN153" s="63"/>
      <c r="AO153" s="63"/>
      <c r="AP153" s="75">
        <f t="shared" ref="AP153:AP158" si="282">SUM(AL153:AO153)</f>
        <v>0</v>
      </c>
      <c r="AR153" s="60">
        <f t="shared" ref="AR153:AR158" si="283">B153+H153+N153+T153+AL153+AF153+Z153</f>
        <v>0</v>
      </c>
      <c r="AS153" s="60">
        <f t="shared" si="275"/>
        <v>1045390</v>
      </c>
      <c r="AT153" s="60">
        <f t="shared" si="275"/>
        <v>0</v>
      </c>
      <c r="AU153" s="60">
        <f t="shared" si="275"/>
        <v>0</v>
      </c>
      <c r="AV153" s="75">
        <f t="shared" ref="AV153:AV158" si="284">SUM(AR153:AU153)</f>
        <v>1045390</v>
      </c>
    </row>
    <row r="154" spans="1:48" x14ac:dyDescent="0.25">
      <c r="A154" s="32" t="s">
        <v>111</v>
      </c>
      <c r="B154" s="63">
        <f>(225*11*B36)-B124</f>
        <v>41175</v>
      </c>
      <c r="C154" s="63">
        <f>(225*11*C36)-C124</f>
        <v>12375</v>
      </c>
      <c r="D154" s="63">
        <f>(195*11*D36)-D124</f>
        <v>0</v>
      </c>
      <c r="E154" s="63">
        <f>(195*11*E36)-E124</f>
        <v>0</v>
      </c>
      <c r="F154" s="75">
        <f t="shared" si="276"/>
        <v>53550</v>
      </c>
      <c r="H154" s="63">
        <f>(225*11*H36)-H124</f>
        <v>76275</v>
      </c>
      <c r="I154" s="63">
        <f>(225*11*I36)-I124</f>
        <v>9900</v>
      </c>
      <c r="J154" s="63">
        <f>(195*11*J36)-J124</f>
        <v>0</v>
      </c>
      <c r="K154" s="63">
        <f>(195*11*K36)-K124</f>
        <v>0</v>
      </c>
      <c r="L154" s="75">
        <f t="shared" si="277"/>
        <v>86175</v>
      </c>
      <c r="N154" s="63">
        <f>(225*11*N36)-N124</f>
        <v>147150</v>
      </c>
      <c r="O154" s="63">
        <f>(225*11*O36)-O124</f>
        <v>34650</v>
      </c>
      <c r="P154" s="63">
        <f>(195*11*P36)-P124</f>
        <v>0</v>
      </c>
      <c r="Q154" s="63">
        <f>(195*11*Q36)-Q124</f>
        <v>0</v>
      </c>
      <c r="R154" s="75">
        <f t="shared" si="278"/>
        <v>181800</v>
      </c>
      <c r="T154" s="63">
        <f>(215*11*T36)-T124</f>
        <v>54395</v>
      </c>
      <c r="U154" s="63">
        <f>(215*11*U36)-U124</f>
        <v>7095</v>
      </c>
      <c r="V154" s="63">
        <f>(195*11*V36)-V124</f>
        <v>0</v>
      </c>
      <c r="W154" s="63">
        <f>(195*11*W36)-W124</f>
        <v>0</v>
      </c>
      <c r="X154" s="75">
        <f t="shared" si="279"/>
        <v>61490</v>
      </c>
      <c r="Y154" s="194"/>
      <c r="Z154" s="63">
        <f>(225*11*Z36)-Z124</f>
        <v>113850</v>
      </c>
      <c r="AA154" s="63">
        <f>(225*11*AA36)-AA124</f>
        <v>14850</v>
      </c>
      <c r="AB154" s="63">
        <f>(195*11*AB36)-AB124</f>
        <v>0</v>
      </c>
      <c r="AC154" s="63">
        <f>(195*11*AC36)-AC124</f>
        <v>0</v>
      </c>
      <c r="AD154" s="75">
        <f t="shared" si="280"/>
        <v>128700</v>
      </c>
      <c r="AE154" s="194"/>
      <c r="AF154" s="63">
        <f>(205*11*AF36)-AF124</f>
        <v>96965</v>
      </c>
      <c r="AG154" s="63">
        <f>(205*11*AG36)-AG124</f>
        <v>11275</v>
      </c>
      <c r="AH154" s="63">
        <f>(195*11*AH36)-AH124</f>
        <v>0</v>
      </c>
      <c r="AI154" s="63">
        <f>(195*11*AI36)-AI124</f>
        <v>0</v>
      </c>
      <c r="AJ154" s="75">
        <f t="shared" si="281"/>
        <v>108240</v>
      </c>
      <c r="AL154" s="63"/>
      <c r="AM154" s="63"/>
      <c r="AN154" s="63"/>
      <c r="AO154" s="63"/>
      <c r="AP154" s="75">
        <f t="shared" si="282"/>
        <v>0</v>
      </c>
      <c r="AR154" s="60">
        <f t="shared" si="283"/>
        <v>529810</v>
      </c>
      <c r="AS154" s="60">
        <f t="shared" si="275"/>
        <v>90145</v>
      </c>
      <c r="AT154" s="60">
        <f t="shared" si="275"/>
        <v>0</v>
      </c>
      <c r="AU154" s="60">
        <f t="shared" si="275"/>
        <v>0</v>
      </c>
      <c r="AV154" s="75">
        <f t="shared" si="284"/>
        <v>619955</v>
      </c>
    </row>
    <row r="155" spans="1:48" x14ac:dyDescent="0.25">
      <c r="A155" s="32" t="s">
        <v>112</v>
      </c>
      <c r="B155" s="63"/>
      <c r="C155" s="63"/>
      <c r="D155" s="63"/>
      <c r="E155" s="63"/>
      <c r="F155" s="75">
        <f t="shared" si="276"/>
        <v>0</v>
      </c>
      <c r="H155" s="63"/>
      <c r="I155" s="63"/>
      <c r="J155" s="63"/>
      <c r="K155" s="63"/>
      <c r="L155" s="75">
        <f t="shared" si="277"/>
        <v>0</v>
      </c>
      <c r="N155" s="63"/>
      <c r="O155" s="63"/>
      <c r="P155" s="63"/>
      <c r="Q155" s="63"/>
      <c r="R155" s="75">
        <f t="shared" si="278"/>
        <v>0</v>
      </c>
      <c r="T155" s="63"/>
      <c r="U155" s="63"/>
      <c r="V155" s="63"/>
      <c r="W155" s="63"/>
      <c r="X155" s="75">
        <f t="shared" si="279"/>
        <v>0</v>
      </c>
      <c r="Y155" s="194"/>
      <c r="Z155" s="63"/>
      <c r="AA155" s="63"/>
      <c r="AB155" s="63"/>
      <c r="AC155" s="63"/>
      <c r="AD155" s="75">
        <f t="shared" si="280"/>
        <v>0</v>
      </c>
      <c r="AE155" s="194"/>
      <c r="AF155" s="63"/>
      <c r="AG155" s="63"/>
      <c r="AH155" s="63"/>
      <c r="AI155" s="63"/>
      <c r="AJ155" s="75">
        <f t="shared" si="281"/>
        <v>0</v>
      </c>
      <c r="AL155" s="63"/>
      <c r="AM155" s="63"/>
      <c r="AN155" s="63"/>
      <c r="AO155" s="63"/>
      <c r="AP155" s="75">
        <f t="shared" si="282"/>
        <v>0</v>
      </c>
      <c r="AR155" s="60">
        <f t="shared" si="283"/>
        <v>0</v>
      </c>
      <c r="AS155" s="60">
        <f t="shared" si="275"/>
        <v>0</v>
      </c>
      <c r="AT155" s="60">
        <f t="shared" si="275"/>
        <v>0</v>
      </c>
      <c r="AU155" s="60">
        <f t="shared" si="275"/>
        <v>0</v>
      </c>
      <c r="AV155" s="75">
        <f t="shared" si="284"/>
        <v>0</v>
      </c>
    </row>
    <row r="156" spans="1:48" x14ac:dyDescent="0.25">
      <c r="A156" s="32" t="s">
        <v>113</v>
      </c>
      <c r="B156" s="63">
        <f>B68*0.005</f>
        <v>51271.5</v>
      </c>
      <c r="C156" s="63"/>
      <c r="D156" s="63"/>
      <c r="E156" s="63"/>
      <c r="F156" s="75">
        <f t="shared" si="276"/>
        <v>51271.5</v>
      </c>
      <c r="H156" s="63">
        <f>H68*0.005</f>
        <v>51271.5</v>
      </c>
      <c r="I156" s="63"/>
      <c r="J156" s="63"/>
      <c r="K156" s="63"/>
      <c r="L156" s="75">
        <f t="shared" si="277"/>
        <v>51271.5</v>
      </c>
      <c r="N156" s="63">
        <f>N68*0.005</f>
        <v>125685</v>
      </c>
      <c r="O156" s="63"/>
      <c r="P156" s="63"/>
      <c r="Q156" s="63"/>
      <c r="R156" s="75">
        <f t="shared" si="278"/>
        <v>125685</v>
      </c>
      <c r="T156" s="63">
        <f>T68*0.005</f>
        <v>26882.625</v>
      </c>
      <c r="U156" s="63"/>
      <c r="V156" s="63"/>
      <c r="W156" s="63"/>
      <c r="X156" s="75">
        <f t="shared" si="279"/>
        <v>26882.625</v>
      </c>
      <c r="Y156" s="194"/>
      <c r="Z156" s="63">
        <f>Z68*0.005</f>
        <v>57057</v>
      </c>
      <c r="AA156" s="63"/>
      <c r="AB156" s="63"/>
      <c r="AC156" s="63"/>
      <c r="AD156" s="75">
        <f t="shared" si="280"/>
        <v>57057</v>
      </c>
      <c r="AE156" s="194"/>
      <c r="AF156" s="63">
        <f>AF68*0.005</f>
        <v>52019.625</v>
      </c>
      <c r="AG156" s="63"/>
      <c r="AH156" s="63"/>
      <c r="AI156" s="63"/>
      <c r="AJ156" s="75">
        <f t="shared" si="281"/>
        <v>52019.625</v>
      </c>
      <c r="AL156" s="63"/>
      <c r="AM156" s="63"/>
      <c r="AN156" s="63"/>
      <c r="AO156" s="63"/>
      <c r="AP156" s="75">
        <f t="shared" si="282"/>
        <v>0</v>
      </c>
      <c r="AR156" s="60">
        <f t="shared" si="283"/>
        <v>364187.25</v>
      </c>
      <c r="AS156" s="60">
        <f t="shared" si="275"/>
        <v>0</v>
      </c>
      <c r="AT156" s="60">
        <f t="shared" si="275"/>
        <v>0</v>
      </c>
      <c r="AU156" s="60">
        <f t="shared" si="275"/>
        <v>0</v>
      </c>
      <c r="AV156" s="75">
        <f t="shared" si="284"/>
        <v>364187.25</v>
      </c>
    </row>
    <row r="157" spans="1:48" x14ac:dyDescent="0.25">
      <c r="A157" s="32" t="s">
        <v>114</v>
      </c>
      <c r="B157" s="63">
        <f>(B68*0.005)</f>
        <v>51271.5</v>
      </c>
      <c r="C157" s="63"/>
      <c r="D157" s="63"/>
      <c r="E157" s="63"/>
      <c r="F157" s="75">
        <f t="shared" si="276"/>
        <v>51271.5</v>
      </c>
      <c r="H157" s="63">
        <f>(H68*0.005)</f>
        <v>51271.5</v>
      </c>
      <c r="I157" s="63"/>
      <c r="J157" s="63"/>
      <c r="K157" s="63"/>
      <c r="L157" s="75">
        <f t="shared" si="277"/>
        <v>51271.5</v>
      </c>
      <c r="N157" s="63">
        <f>(N68*0.005)</f>
        <v>125685</v>
      </c>
      <c r="O157" s="63"/>
      <c r="P157" s="63"/>
      <c r="Q157" s="63"/>
      <c r="R157" s="75">
        <f t="shared" si="278"/>
        <v>125685</v>
      </c>
      <c r="T157" s="63">
        <f>(T68*0.005)</f>
        <v>26882.625</v>
      </c>
      <c r="U157" s="63"/>
      <c r="V157" s="63"/>
      <c r="W157" s="63"/>
      <c r="X157" s="75">
        <f t="shared" si="279"/>
        <v>26882.625</v>
      </c>
      <c r="Y157" s="194"/>
      <c r="Z157" s="63">
        <f>(Z68*0.005)</f>
        <v>57057</v>
      </c>
      <c r="AA157" s="63"/>
      <c r="AB157" s="63"/>
      <c r="AC157" s="63"/>
      <c r="AD157" s="75">
        <f t="shared" si="280"/>
        <v>57057</v>
      </c>
      <c r="AE157" s="194"/>
      <c r="AF157" s="63">
        <f>(AF68*0.005)</f>
        <v>52019.625</v>
      </c>
      <c r="AG157" s="63"/>
      <c r="AH157" s="63"/>
      <c r="AI157" s="63"/>
      <c r="AJ157" s="75">
        <f t="shared" si="281"/>
        <v>52019.625</v>
      </c>
      <c r="AL157" s="63"/>
      <c r="AM157" s="63"/>
      <c r="AN157" s="63"/>
      <c r="AO157" s="63"/>
      <c r="AP157" s="75">
        <f t="shared" si="282"/>
        <v>0</v>
      </c>
      <c r="AR157" s="60">
        <f t="shared" si="283"/>
        <v>364187.25</v>
      </c>
      <c r="AS157" s="60">
        <f t="shared" si="275"/>
        <v>0</v>
      </c>
      <c r="AT157" s="60">
        <f t="shared" si="275"/>
        <v>0</v>
      </c>
      <c r="AU157" s="60">
        <f t="shared" si="275"/>
        <v>0</v>
      </c>
      <c r="AV157" s="75">
        <f t="shared" si="284"/>
        <v>364187.25</v>
      </c>
    </row>
    <row r="158" spans="1:48" x14ac:dyDescent="0.25">
      <c r="A158" s="33" t="s">
        <v>115</v>
      </c>
      <c r="B158" s="64"/>
      <c r="C158" s="64"/>
      <c r="D158" s="64"/>
      <c r="E158" s="64"/>
      <c r="F158" s="75">
        <f t="shared" si="276"/>
        <v>0</v>
      </c>
      <c r="H158" s="64"/>
      <c r="I158" s="64"/>
      <c r="J158" s="64"/>
      <c r="K158" s="64"/>
      <c r="L158" s="75">
        <f t="shared" si="277"/>
        <v>0</v>
      </c>
      <c r="N158" s="64"/>
      <c r="O158" s="64"/>
      <c r="P158" s="64"/>
      <c r="Q158" s="64"/>
      <c r="R158" s="75">
        <f t="shared" si="278"/>
        <v>0</v>
      </c>
      <c r="T158" s="64"/>
      <c r="U158" s="64"/>
      <c r="V158" s="64"/>
      <c r="W158" s="64"/>
      <c r="X158" s="75">
        <f t="shared" si="279"/>
        <v>0</v>
      </c>
      <c r="Y158" s="194"/>
      <c r="Z158" s="64"/>
      <c r="AA158" s="64"/>
      <c r="AB158" s="64"/>
      <c r="AC158" s="64"/>
      <c r="AD158" s="75">
        <f t="shared" si="280"/>
        <v>0</v>
      </c>
      <c r="AE158" s="194"/>
      <c r="AF158" s="64"/>
      <c r="AG158" s="64"/>
      <c r="AH158" s="64"/>
      <c r="AI158" s="64"/>
      <c r="AJ158" s="75">
        <f t="shared" si="281"/>
        <v>0</v>
      </c>
      <c r="AL158" s="64"/>
      <c r="AM158" s="64"/>
      <c r="AN158" s="64"/>
      <c r="AO158" s="64"/>
      <c r="AP158" s="75">
        <f t="shared" si="282"/>
        <v>0</v>
      </c>
      <c r="AR158" s="60">
        <f t="shared" si="283"/>
        <v>0</v>
      </c>
      <c r="AS158" s="60">
        <f t="shared" si="275"/>
        <v>0</v>
      </c>
      <c r="AT158" s="60">
        <f t="shared" si="275"/>
        <v>0</v>
      </c>
      <c r="AU158" s="60">
        <f t="shared" si="275"/>
        <v>0</v>
      </c>
      <c r="AV158" s="75">
        <f t="shared" si="284"/>
        <v>0</v>
      </c>
    </row>
    <row r="159" spans="1:48" x14ac:dyDescent="0.25">
      <c r="A159" s="34"/>
      <c r="B159" s="76">
        <f>SUM(B152:B158)</f>
        <v>157927.57511999999</v>
      </c>
      <c r="C159" s="76">
        <f t="shared" ref="C159:F159" si="285">SUM(C152:C158)</f>
        <v>99755</v>
      </c>
      <c r="D159" s="76">
        <f t="shared" si="285"/>
        <v>0</v>
      </c>
      <c r="E159" s="76">
        <f t="shared" si="285"/>
        <v>0</v>
      </c>
      <c r="F159" s="76">
        <f t="shared" si="285"/>
        <v>257682.57511999999</v>
      </c>
      <c r="H159" s="76">
        <f>SUM(H152:H158)</f>
        <v>193027.57511999999</v>
      </c>
      <c r="I159" s="76">
        <f t="shared" ref="I159:L159" si="286">SUM(I152:I158)</f>
        <v>97280</v>
      </c>
      <c r="J159" s="76">
        <f t="shared" si="286"/>
        <v>0</v>
      </c>
      <c r="K159" s="76">
        <f t="shared" si="286"/>
        <v>0</v>
      </c>
      <c r="L159" s="76">
        <f t="shared" si="286"/>
        <v>290307.57511999999</v>
      </c>
      <c r="N159" s="76">
        <f>SUM(N152:N158)</f>
        <v>426094.965845</v>
      </c>
      <c r="O159" s="76">
        <f t="shared" ref="O159:R159" si="287">SUM(O152:O158)</f>
        <v>248850</v>
      </c>
      <c r="P159" s="76">
        <f t="shared" si="287"/>
        <v>0</v>
      </c>
      <c r="Q159" s="76">
        <f t="shared" si="287"/>
        <v>0</v>
      </c>
      <c r="R159" s="76">
        <f t="shared" si="287"/>
        <v>674944.965845</v>
      </c>
      <c r="T159" s="76">
        <f t="shared" ref="T159:X159" si="288">SUM(T152:T158)</f>
        <v>108160.25</v>
      </c>
      <c r="U159" s="76">
        <f t="shared" si="288"/>
        <v>139150</v>
      </c>
      <c r="V159" s="76">
        <f t="shared" si="288"/>
        <v>0</v>
      </c>
      <c r="W159" s="76">
        <f t="shared" si="288"/>
        <v>0</v>
      </c>
      <c r="X159" s="76">
        <f t="shared" si="288"/>
        <v>247310.25</v>
      </c>
      <c r="Y159" s="199"/>
      <c r="Z159" s="76">
        <f t="shared" ref="Z159:AD159" si="289">SUM(Z152:Z158)</f>
        <v>242445.285</v>
      </c>
      <c r="AA159" s="76">
        <f t="shared" si="289"/>
        <v>283690</v>
      </c>
      <c r="AB159" s="76">
        <f t="shared" si="289"/>
        <v>0</v>
      </c>
      <c r="AC159" s="76">
        <f t="shared" si="289"/>
        <v>0</v>
      </c>
      <c r="AD159" s="76">
        <f t="shared" si="289"/>
        <v>526135.28499999992</v>
      </c>
      <c r="AE159" s="199"/>
      <c r="AF159" s="76">
        <f t="shared" ref="AF159:AJ159" si="290">SUM(AF152:AF158)</f>
        <v>201004.25</v>
      </c>
      <c r="AG159" s="76">
        <f t="shared" si="290"/>
        <v>266810</v>
      </c>
      <c r="AH159" s="76">
        <f t="shared" si="290"/>
        <v>0</v>
      </c>
      <c r="AI159" s="76">
        <f t="shared" si="290"/>
        <v>0</v>
      </c>
      <c r="AJ159" s="76">
        <f t="shared" si="290"/>
        <v>467814.25</v>
      </c>
      <c r="AL159" s="76">
        <f>SUM(AL152:AL158)</f>
        <v>0</v>
      </c>
      <c r="AM159" s="76">
        <f t="shared" ref="AM159:AP159" si="291">SUM(AM152:AM158)</f>
        <v>0</v>
      </c>
      <c r="AN159" s="76">
        <f t="shared" si="291"/>
        <v>0</v>
      </c>
      <c r="AO159" s="76">
        <f t="shared" si="291"/>
        <v>6500</v>
      </c>
      <c r="AP159" s="76">
        <f t="shared" si="291"/>
        <v>6500</v>
      </c>
      <c r="AR159" s="76">
        <f>SUM(AR152:AR158)</f>
        <v>1328659.901085</v>
      </c>
      <c r="AS159" s="76">
        <f t="shared" ref="AS159:AV159" si="292">SUM(AS152:AS158)</f>
        <v>1135535</v>
      </c>
      <c r="AT159" s="76">
        <f t="shared" si="292"/>
        <v>0</v>
      </c>
      <c r="AU159" s="76">
        <f t="shared" si="292"/>
        <v>6500</v>
      </c>
      <c r="AV159" s="76">
        <f t="shared" si="292"/>
        <v>2470694.901085</v>
      </c>
    </row>
    <row r="160" spans="1:48" x14ac:dyDescent="0.25">
      <c r="B160" s="77"/>
      <c r="C160" s="77"/>
      <c r="D160" s="77"/>
      <c r="E160" s="77"/>
      <c r="F160" s="77"/>
      <c r="H160" s="77"/>
      <c r="I160" s="77"/>
      <c r="J160" s="77"/>
      <c r="K160" s="77"/>
      <c r="L160" s="77"/>
      <c r="N160" s="77"/>
      <c r="O160" s="77"/>
      <c r="P160" s="77"/>
      <c r="Q160" s="77"/>
      <c r="R160" s="77"/>
      <c r="T160" s="77"/>
      <c r="U160" s="77"/>
      <c r="V160" s="77"/>
      <c r="W160" s="77"/>
      <c r="X160" s="77"/>
      <c r="Y160" s="79"/>
      <c r="Z160" s="77"/>
      <c r="AA160" s="77"/>
      <c r="AB160" s="77"/>
      <c r="AC160" s="77"/>
      <c r="AD160" s="77"/>
      <c r="AE160" s="79"/>
      <c r="AF160" s="77"/>
      <c r="AG160" s="77"/>
      <c r="AH160" s="77"/>
      <c r="AI160" s="77"/>
      <c r="AJ160" s="77"/>
      <c r="AL160" s="77"/>
      <c r="AM160" s="77"/>
      <c r="AN160" s="77"/>
      <c r="AO160" s="77"/>
      <c r="AP160" s="77"/>
      <c r="AR160" s="77"/>
      <c r="AS160" s="77"/>
      <c r="AT160" s="77"/>
      <c r="AU160" s="77"/>
      <c r="AV160" s="77"/>
    </row>
    <row r="161" spans="1:48" x14ac:dyDescent="0.25">
      <c r="A161" s="28"/>
      <c r="B161" s="78" t="s">
        <v>157</v>
      </c>
      <c r="C161" s="78" t="s">
        <v>158</v>
      </c>
      <c r="D161" s="78" t="s">
        <v>159</v>
      </c>
      <c r="E161" s="78" t="str">
        <f>E151</f>
        <v>Other</v>
      </c>
      <c r="F161" s="78" t="str">
        <f>F151</f>
        <v>FY30- Mtn</v>
      </c>
      <c r="H161" s="78" t="s">
        <v>157</v>
      </c>
      <c r="I161" s="78" t="s">
        <v>158</v>
      </c>
      <c r="J161" s="78" t="s">
        <v>159</v>
      </c>
      <c r="K161" s="78" t="str">
        <f>K151</f>
        <v>Other</v>
      </c>
      <c r="L161" s="78" t="str">
        <f>L151</f>
        <v>FY30- Bon</v>
      </c>
      <c r="N161" s="78" t="s">
        <v>157</v>
      </c>
      <c r="O161" s="78" t="s">
        <v>158</v>
      </c>
      <c r="P161" s="78" t="s">
        <v>159</v>
      </c>
      <c r="Q161" s="78" t="str">
        <f>Q151</f>
        <v>Other</v>
      </c>
      <c r="R161" s="78" t="str">
        <f>R151</f>
        <v>FY30- East</v>
      </c>
      <c r="T161" s="78" t="s">
        <v>157</v>
      </c>
      <c r="U161" s="78" t="s">
        <v>158</v>
      </c>
      <c r="V161" s="78" t="s">
        <v>159</v>
      </c>
      <c r="W161" s="78" t="str">
        <f>W151</f>
        <v>Other</v>
      </c>
      <c r="X161" s="78" t="str">
        <f>X151</f>
        <v>FY30- Cactus</v>
      </c>
      <c r="Y161" s="201"/>
      <c r="Z161" s="78" t="s">
        <v>157</v>
      </c>
      <c r="AA161" s="78" t="s">
        <v>158</v>
      </c>
      <c r="AB161" s="78" t="s">
        <v>159</v>
      </c>
      <c r="AC161" s="78" t="str">
        <f>AC151</f>
        <v>Other</v>
      </c>
      <c r="AD161" s="78" t="str">
        <f>AD151</f>
        <v>FY30- Sahara</v>
      </c>
      <c r="AE161" s="201"/>
      <c r="AF161" s="78" t="s">
        <v>157</v>
      </c>
      <c r="AG161" s="78" t="s">
        <v>158</v>
      </c>
      <c r="AH161" s="78" t="s">
        <v>159</v>
      </c>
      <c r="AI161" s="78" t="str">
        <f>AI151</f>
        <v>Other</v>
      </c>
      <c r="AJ161" s="78" t="str">
        <f>AJ151</f>
        <v>FY30- VV</v>
      </c>
      <c r="AL161" s="78" t="s">
        <v>157</v>
      </c>
      <c r="AM161" s="78" t="s">
        <v>158</v>
      </c>
      <c r="AN161" s="78" t="s">
        <v>159</v>
      </c>
      <c r="AO161" s="78" t="str">
        <f>AO151</f>
        <v>Grant</v>
      </c>
      <c r="AP161" s="78" t="str">
        <f>AP151</f>
        <v>FY30 - Central</v>
      </c>
      <c r="AR161" s="78" t="s">
        <v>157</v>
      </c>
      <c r="AS161" s="78" t="s">
        <v>158</v>
      </c>
      <c r="AT161" s="78" t="s">
        <v>159</v>
      </c>
      <c r="AU161" s="78" t="str">
        <f>AU151</f>
        <v>Other</v>
      </c>
      <c r="AV161" s="78" t="str">
        <f>AV151</f>
        <v>FY29- Sys</v>
      </c>
    </row>
    <row r="162" spans="1:48" x14ac:dyDescent="0.25">
      <c r="A162" s="35" t="s">
        <v>109</v>
      </c>
      <c r="B162" s="75">
        <f>5000+500</f>
        <v>5500</v>
      </c>
      <c r="C162" s="75"/>
      <c r="D162" s="75"/>
      <c r="E162" s="75"/>
      <c r="F162" s="75">
        <f>SUM(B162:E162)</f>
        <v>5500</v>
      </c>
      <c r="H162" s="75">
        <f>5000+500</f>
        <v>5500</v>
      </c>
      <c r="I162" s="75"/>
      <c r="J162" s="75"/>
      <c r="K162" s="75"/>
      <c r="L162" s="75">
        <f>SUM(H162:K162)</f>
        <v>5500</v>
      </c>
      <c r="N162" s="75">
        <f>5000+500</f>
        <v>5500</v>
      </c>
      <c r="O162" s="75"/>
      <c r="P162" s="75"/>
      <c r="Q162" s="75"/>
      <c r="R162" s="75">
        <f>SUM(N162:Q162)</f>
        <v>5500</v>
      </c>
      <c r="T162" s="75">
        <v>0</v>
      </c>
      <c r="U162" s="75"/>
      <c r="V162" s="75"/>
      <c r="W162" s="75"/>
      <c r="X162" s="75">
        <f>SUM(T162:W162)</f>
        <v>0</v>
      </c>
      <c r="Y162" s="194"/>
      <c r="Z162" s="75">
        <v>0</v>
      </c>
      <c r="AA162" s="75"/>
      <c r="AB162" s="75"/>
      <c r="AC162" s="75"/>
      <c r="AD162" s="75">
        <f>SUM(Z162:AC162)</f>
        <v>0</v>
      </c>
      <c r="AE162" s="194"/>
      <c r="AF162" s="75">
        <v>0</v>
      </c>
      <c r="AG162" s="75"/>
      <c r="AH162" s="75"/>
      <c r="AI162" s="75"/>
      <c r="AJ162" s="75">
        <f>SUM(AF162:AI162)</f>
        <v>0</v>
      </c>
      <c r="AL162" s="75"/>
      <c r="AM162" s="75"/>
      <c r="AN162" s="75"/>
      <c r="AO162" s="75"/>
      <c r="AP162" s="75">
        <f>SUM(AL162:AO162)</f>
        <v>0</v>
      </c>
      <c r="AR162" s="75">
        <f>B162+H162+N162+T162+AL162+AF162+Z162</f>
        <v>16500</v>
      </c>
      <c r="AS162" s="75">
        <f t="shared" ref="AS162:AU170" si="293">C162+I162+O162+U162+AM162+AG162+AA162</f>
        <v>0</v>
      </c>
      <c r="AT162" s="75">
        <f t="shared" si="293"/>
        <v>0</v>
      </c>
      <c r="AU162" s="75">
        <f t="shared" si="293"/>
        <v>0</v>
      </c>
      <c r="AV162" s="75">
        <f>SUM(AR162:AU162)</f>
        <v>16500</v>
      </c>
    </row>
    <row r="163" spans="1:48" x14ac:dyDescent="0.25">
      <c r="A163" s="32" t="s">
        <v>112</v>
      </c>
      <c r="B163" s="63"/>
      <c r="C163" s="63"/>
      <c r="D163" s="63"/>
      <c r="E163" s="63"/>
      <c r="F163" s="75">
        <f t="shared" ref="F163:F170" si="294">SUM(B163:E163)</f>
        <v>0</v>
      </c>
      <c r="H163" s="63"/>
      <c r="I163" s="63"/>
      <c r="J163" s="63"/>
      <c r="K163" s="63"/>
      <c r="L163" s="75">
        <f t="shared" ref="L163:L170" si="295">SUM(H163:K163)</f>
        <v>0</v>
      </c>
      <c r="N163" s="89">
        <f>35000*1.03*1.03*1.03</f>
        <v>38245.445</v>
      </c>
      <c r="O163" s="63"/>
      <c r="P163" s="63"/>
      <c r="Q163" s="63"/>
      <c r="R163" s="75">
        <f t="shared" ref="R163:R170" si="296">SUM(N163:Q163)</f>
        <v>38245.445</v>
      </c>
      <c r="T163" s="63"/>
      <c r="U163" s="63"/>
      <c r="V163" s="63"/>
      <c r="W163" s="63"/>
      <c r="X163" s="75">
        <f t="shared" ref="X163:X170" si="297">SUM(T163:W163)</f>
        <v>0</v>
      </c>
      <c r="Y163" s="194"/>
      <c r="Z163" s="63"/>
      <c r="AA163" s="63"/>
      <c r="AB163" s="63"/>
      <c r="AC163" s="63"/>
      <c r="AD163" s="75">
        <f t="shared" ref="AD163:AD170" si="298">SUM(Z163:AC163)</f>
        <v>0</v>
      </c>
      <c r="AE163" s="194"/>
      <c r="AF163" s="63"/>
      <c r="AG163" s="63"/>
      <c r="AH163" s="63"/>
      <c r="AI163" s="63"/>
      <c r="AJ163" s="75">
        <f t="shared" ref="AJ163:AJ170" si="299">SUM(AF163:AI163)</f>
        <v>0</v>
      </c>
      <c r="AL163" s="63"/>
      <c r="AM163" s="63"/>
      <c r="AN163" s="63"/>
      <c r="AO163" s="63"/>
      <c r="AP163" s="75">
        <f t="shared" ref="AP163:AP170" si="300">SUM(AL163:AO163)</f>
        <v>0</v>
      </c>
      <c r="AR163" s="75">
        <f t="shared" ref="AR163:AR170" si="301">B163+H163+N163+T163+AL163+AF163+Z163</f>
        <v>38245.445</v>
      </c>
      <c r="AS163" s="75">
        <f t="shared" si="293"/>
        <v>0</v>
      </c>
      <c r="AT163" s="75">
        <f t="shared" si="293"/>
        <v>0</v>
      </c>
      <c r="AU163" s="75">
        <f t="shared" si="293"/>
        <v>0</v>
      </c>
      <c r="AV163" s="75">
        <f t="shared" ref="AV163:AV170" si="302">SUM(AR163:AU163)</f>
        <v>38245.445</v>
      </c>
    </row>
    <row r="164" spans="1:48" x14ac:dyDescent="0.25">
      <c r="A164" s="32" t="s">
        <v>116</v>
      </c>
      <c r="B164" s="63">
        <f>524.39*B17</f>
        <v>539072.92000000004</v>
      </c>
      <c r="C164" s="63"/>
      <c r="D164" s="63"/>
      <c r="E164" s="63"/>
      <c r="F164" s="75">
        <f t="shared" si="294"/>
        <v>539072.92000000004</v>
      </c>
      <c r="H164" s="63">
        <f>524.39*H17</f>
        <v>539072.92000000004</v>
      </c>
      <c r="I164" s="63"/>
      <c r="J164" s="63"/>
      <c r="K164" s="63"/>
      <c r="L164" s="75">
        <f t="shared" si="295"/>
        <v>539072.92000000004</v>
      </c>
      <c r="N164" s="63">
        <f>524.39*N17</f>
        <v>1321462.8</v>
      </c>
      <c r="O164" s="63"/>
      <c r="P164" s="63"/>
      <c r="Q164" s="63"/>
      <c r="R164" s="75">
        <f t="shared" si="296"/>
        <v>1321462.8</v>
      </c>
      <c r="T164" s="63">
        <f>524.39*T17</f>
        <v>282646.21000000002</v>
      </c>
      <c r="U164" s="63"/>
      <c r="V164" s="63"/>
      <c r="W164" s="63"/>
      <c r="X164" s="75">
        <f t="shared" si="297"/>
        <v>282646.21000000002</v>
      </c>
      <c r="Y164" s="194"/>
      <c r="Z164" s="63">
        <f>524.39*Z17</f>
        <v>599902.16</v>
      </c>
      <c r="AA164" s="63"/>
      <c r="AB164" s="63"/>
      <c r="AC164" s="63"/>
      <c r="AD164" s="75">
        <f t="shared" si="298"/>
        <v>599902.16</v>
      </c>
      <c r="AE164" s="194"/>
      <c r="AF164" s="63">
        <f>524.39*AF17</f>
        <v>546938.77</v>
      </c>
      <c r="AG164" s="63"/>
      <c r="AH164" s="63"/>
      <c r="AI164" s="63"/>
      <c r="AJ164" s="75">
        <f t="shared" si="299"/>
        <v>546938.77</v>
      </c>
      <c r="AL164" s="63"/>
      <c r="AM164" s="63"/>
      <c r="AN164" s="63"/>
      <c r="AO164" s="63"/>
      <c r="AP164" s="75">
        <f t="shared" si="300"/>
        <v>0</v>
      </c>
      <c r="AR164" s="75">
        <f t="shared" si="301"/>
        <v>3829095.7800000003</v>
      </c>
      <c r="AS164" s="75">
        <f t="shared" si="293"/>
        <v>0</v>
      </c>
      <c r="AT164" s="75">
        <f t="shared" si="293"/>
        <v>0</v>
      </c>
      <c r="AU164" s="75">
        <f t="shared" si="293"/>
        <v>0</v>
      </c>
      <c r="AV164" s="75">
        <f t="shared" si="302"/>
        <v>3829095.7800000003</v>
      </c>
    </row>
    <row r="165" spans="1:48" x14ac:dyDescent="0.25">
      <c r="A165" s="32" t="s">
        <v>117</v>
      </c>
      <c r="B165" s="61">
        <f>(3700*12)*1.03*1.03*1.03*1.03</f>
        <v>49972.591164000005</v>
      </c>
      <c r="C165" s="63"/>
      <c r="D165" s="63"/>
      <c r="E165" s="63"/>
      <c r="F165" s="75">
        <f t="shared" si="294"/>
        <v>49972.591164000005</v>
      </c>
      <c r="H165" s="61">
        <f>(3700*12)*1.03*1.03*1.03*1.03</f>
        <v>49972.591164000005</v>
      </c>
      <c r="I165" s="63"/>
      <c r="J165" s="63"/>
      <c r="K165" s="63"/>
      <c r="L165" s="75">
        <f t="shared" si="295"/>
        <v>49972.591164000005</v>
      </c>
      <c r="N165" s="61">
        <f>108000*1.03*1.03*1.03*1.03</f>
        <v>121554.95148</v>
      </c>
      <c r="O165" s="63"/>
      <c r="P165" s="63"/>
      <c r="Q165" s="63"/>
      <c r="R165" s="75">
        <f t="shared" si="296"/>
        <v>121554.95148</v>
      </c>
      <c r="T165" s="61">
        <f>(800*12)*1.02*1.03*1.03*1.03</f>
        <v>10699.982784</v>
      </c>
      <c r="U165" s="63"/>
      <c r="V165" s="63"/>
      <c r="W165" s="63"/>
      <c r="X165" s="75">
        <f t="shared" si="297"/>
        <v>10699.982784</v>
      </c>
      <c r="Y165" s="194"/>
      <c r="Z165" s="61">
        <f>(3700*12)*1.03*1.03*1.03*1.03</f>
        <v>49972.591164000005</v>
      </c>
      <c r="AA165" s="63"/>
      <c r="AB165" s="63"/>
      <c r="AC165" s="63"/>
      <c r="AD165" s="75">
        <f t="shared" si="298"/>
        <v>49972.591164000005</v>
      </c>
      <c r="AE165" s="194"/>
      <c r="AF165" s="61">
        <f>(3700*12)*1.03*1.03</f>
        <v>47103.96</v>
      </c>
      <c r="AG165" s="63"/>
      <c r="AH165" s="63"/>
      <c r="AI165" s="63"/>
      <c r="AJ165" s="75">
        <f t="shared" si="299"/>
        <v>47103.96</v>
      </c>
      <c r="AL165" s="61">
        <f>10000*1.03*1.03*1.03*1.03</f>
        <v>11255.088100000001</v>
      </c>
      <c r="AM165" s="63"/>
      <c r="AN165" s="63"/>
      <c r="AO165" s="63"/>
      <c r="AP165" s="75">
        <f t="shared" si="300"/>
        <v>11255.088100000001</v>
      </c>
      <c r="AR165" s="75">
        <f t="shared" si="301"/>
        <v>340531.755856</v>
      </c>
      <c r="AS165" s="75">
        <f t="shared" si="293"/>
        <v>0</v>
      </c>
      <c r="AT165" s="75">
        <f t="shared" si="293"/>
        <v>0</v>
      </c>
      <c r="AU165" s="75">
        <f t="shared" si="293"/>
        <v>0</v>
      </c>
      <c r="AV165" s="75">
        <f t="shared" si="302"/>
        <v>340531.755856</v>
      </c>
    </row>
    <row r="166" spans="1:48" x14ac:dyDescent="0.25">
      <c r="A166" s="32" t="s">
        <v>118</v>
      </c>
      <c r="B166" s="63">
        <f>22500*1.03*1.03*1.03*1.03</f>
        <v>25323.948225000004</v>
      </c>
      <c r="C166" s="63"/>
      <c r="D166" s="63"/>
      <c r="E166" s="63"/>
      <c r="F166" s="75">
        <f t="shared" si="294"/>
        <v>25323.948225000004</v>
      </c>
      <c r="H166" s="63">
        <f>22500*1.03*1.03*1.03*1.03</f>
        <v>25323.948225000004</v>
      </c>
      <c r="I166" s="63"/>
      <c r="J166" s="63"/>
      <c r="K166" s="63"/>
      <c r="L166" s="75">
        <f t="shared" si="295"/>
        <v>25323.948225000004</v>
      </c>
      <c r="N166" s="63">
        <f>30000*1.03*1.03*1.03</f>
        <v>32781.81</v>
      </c>
      <c r="O166" s="63"/>
      <c r="P166" s="63"/>
      <c r="Q166" s="63"/>
      <c r="R166" s="75">
        <f t="shared" si="296"/>
        <v>32781.81</v>
      </c>
      <c r="T166" s="63">
        <f>10000+2500+1500</f>
        <v>14000</v>
      </c>
      <c r="U166" s="63"/>
      <c r="V166" s="63"/>
      <c r="W166" s="63"/>
      <c r="X166" s="75">
        <f t="shared" si="297"/>
        <v>14000</v>
      </c>
      <c r="Y166" s="194"/>
      <c r="Z166" s="63">
        <v>20000</v>
      </c>
      <c r="AA166" s="63"/>
      <c r="AB166" s="63"/>
      <c r="AC166" s="63"/>
      <c r="AD166" s="75">
        <f t="shared" si="298"/>
        <v>20000</v>
      </c>
      <c r="AE166" s="194"/>
      <c r="AF166" s="63">
        <v>15000</v>
      </c>
      <c r="AG166" s="63"/>
      <c r="AH166" s="63"/>
      <c r="AI166" s="63"/>
      <c r="AJ166" s="75">
        <f t="shared" si="299"/>
        <v>15000</v>
      </c>
      <c r="AL166" s="63"/>
      <c r="AM166" s="63"/>
      <c r="AN166" s="63"/>
      <c r="AO166" s="63"/>
      <c r="AP166" s="75">
        <f t="shared" si="300"/>
        <v>0</v>
      </c>
      <c r="AR166" s="75">
        <f t="shared" si="301"/>
        <v>132429.70645</v>
      </c>
      <c r="AS166" s="75">
        <f t="shared" si="293"/>
        <v>0</v>
      </c>
      <c r="AT166" s="75">
        <f t="shared" si="293"/>
        <v>0</v>
      </c>
      <c r="AU166" s="75">
        <f t="shared" si="293"/>
        <v>0</v>
      </c>
      <c r="AV166" s="75">
        <f t="shared" si="302"/>
        <v>132429.70645</v>
      </c>
    </row>
    <row r="167" spans="1:48" x14ac:dyDescent="0.25">
      <c r="A167" s="32" t="s">
        <v>119</v>
      </c>
      <c r="B167" s="63">
        <f>30000+5000+2500+1000+1000</f>
        <v>39500</v>
      </c>
      <c r="C167" s="63"/>
      <c r="D167" s="63"/>
      <c r="E167" s="63"/>
      <c r="F167" s="75">
        <f t="shared" si="294"/>
        <v>39500</v>
      </c>
      <c r="H167" s="63">
        <f>30000+5000+2500+1000+1000</f>
        <v>39500</v>
      </c>
      <c r="I167" s="63"/>
      <c r="J167" s="63"/>
      <c r="K167" s="63"/>
      <c r="L167" s="75">
        <f t="shared" si="295"/>
        <v>39500</v>
      </c>
      <c r="N167" s="63">
        <f>52500+3000+2500</f>
        <v>58000</v>
      </c>
      <c r="O167" s="63"/>
      <c r="P167" s="63"/>
      <c r="Q167" s="63"/>
      <c r="R167" s="75">
        <f t="shared" si="296"/>
        <v>58000</v>
      </c>
      <c r="T167" s="63">
        <f>30000+2500+2500+2500+1000</f>
        <v>38500</v>
      </c>
      <c r="U167" s="63"/>
      <c r="V167" s="63"/>
      <c r="W167" s="63"/>
      <c r="X167" s="75">
        <f t="shared" si="297"/>
        <v>38500</v>
      </c>
      <c r="Y167" s="194"/>
      <c r="Z167" s="63">
        <v>37500</v>
      </c>
      <c r="AA167" s="63"/>
      <c r="AB167" s="63"/>
      <c r="AC167" s="63"/>
      <c r="AD167" s="75">
        <f t="shared" si="298"/>
        <v>37500</v>
      </c>
      <c r="AE167" s="194"/>
      <c r="AF167" s="63">
        <v>37500</v>
      </c>
      <c r="AG167" s="63"/>
      <c r="AH167" s="63"/>
      <c r="AI167" s="63"/>
      <c r="AJ167" s="75">
        <f t="shared" si="299"/>
        <v>37500</v>
      </c>
      <c r="AL167" s="63"/>
      <c r="AM167" s="63"/>
      <c r="AN167" s="63"/>
      <c r="AO167" s="63"/>
      <c r="AP167" s="75">
        <f t="shared" si="300"/>
        <v>0</v>
      </c>
      <c r="AR167" s="75">
        <f t="shared" si="301"/>
        <v>250500</v>
      </c>
      <c r="AS167" s="75">
        <f t="shared" si="293"/>
        <v>0</v>
      </c>
      <c r="AT167" s="75">
        <f t="shared" si="293"/>
        <v>0</v>
      </c>
      <c r="AU167" s="75">
        <f t="shared" si="293"/>
        <v>0</v>
      </c>
      <c r="AV167" s="75">
        <f t="shared" si="302"/>
        <v>250500</v>
      </c>
    </row>
    <row r="168" spans="1:48" x14ac:dyDescent="0.25">
      <c r="A168" s="32" t="s">
        <v>120</v>
      </c>
      <c r="B168" s="63">
        <f>(48*B17)</f>
        <v>49344</v>
      </c>
      <c r="C168" s="63"/>
      <c r="D168" s="63"/>
      <c r="E168" s="63"/>
      <c r="F168" s="75">
        <f t="shared" si="294"/>
        <v>49344</v>
      </c>
      <c r="H168" s="63">
        <f>(48*H17)</f>
        <v>49344</v>
      </c>
      <c r="I168" s="63"/>
      <c r="J168" s="63"/>
      <c r="K168" s="63"/>
      <c r="L168" s="75">
        <f t="shared" si="295"/>
        <v>49344</v>
      </c>
      <c r="N168" s="63">
        <f>(48*N17)</f>
        <v>120960</v>
      </c>
      <c r="O168" s="63"/>
      <c r="P168" s="63"/>
      <c r="Q168" s="63"/>
      <c r="R168" s="75">
        <f t="shared" si="296"/>
        <v>120960</v>
      </c>
      <c r="T168" s="63">
        <f>(48*T17)</f>
        <v>25872</v>
      </c>
      <c r="U168" s="63"/>
      <c r="V168" s="63"/>
      <c r="W168" s="63"/>
      <c r="X168" s="75">
        <f t="shared" si="297"/>
        <v>25872</v>
      </c>
      <c r="Y168" s="194"/>
      <c r="Z168" s="63">
        <f>(48*Z17)</f>
        <v>54912</v>
      </c>
      <c r="AA168" s="63"/>
      <c r="AB168" s="63"/>
      <c r="AC168" s="63"/>
      <c r="AD168" s="75">
        <f t="shared" si="298"/>
        <v>54912</v>
      </c>
      <c r="AE168" s="194"/>
      <c r="AF168" s="63">
        <f>(48*AF17)</f>
        <v>50064</v>
      </c>
      <c r="AG168" s="63"/>
      <c r="AH168" s="63"/>
      <c r="AI168" s="63"/>
      <c r="AJ168" s="75">
        <f t="shared" si="299"/>
        <v>50064</v>
      </c>
      <c r="AL168" s="63"/>
      <c r="AM168" s="63"/>
      <c r="AN168" s="63"/>
      <c r="AO168" s="63"/>
      <c r="AP168" s="75">
        <f t="shared" si="300"/>
        <v>0</v>
      </c>
      <c r="AR168" s="75">
        <f t="shared" si="301"/>
        <v>350496</v>
      </c>
      <c r="AS168" s="75">
        <f t="shared" si="293"/>
        <v>0</v>
      </c>
      <c r="AT168" s="75">
        <f t="shared" si="293"/>
        <v>0</v>
      </c>
      <c r="AU168" s="75">
        <f t="shared" si="293"/>
        <v>0</v>
      </c>
      <c r="AV168" s="75">
        <f t="shared" si="302"/>
        <v>350496</v>
      </c>
    </row>
    <row r="169" spans="1:48" x14ac:dyDescent="0.25">
      <c r="A169" s="32" t="s">
        <v>121</v>
      </c>
      <c r="B169" s="63">
        <v>0</v>
      </c>
      <c r="C169" s="63"/>
      <c r="D169" s="63"/>
      <c r="E169" s="63"/>
      <c r="F169" s="75">
        <f t="shared" si="294"/>
        <v>0</v>
      </c>
      <c r="H169" s="63">
        <v>0</v>
      </c>
      <c r="I169" s="63"/>
      <c r="J169" s="63"/>
      <c r="K169" s="63"/>
      <c r="L169" s="75">
        <f t="shared" si="295"/>
        <v>0</v>
      </c>
      <c r="N169" s="63">
        <v>0</v>
      </c>
      <c r="O169" s="63"/>
      <c r="P169" s="63"/>
      <c r="Q169" s="63"/>
      <c r="R169" s="75">
        <f t="shared" si="296"/>
        <v>0</v>
      </c>
      <c r="T169" s="63">
        <v>0</v>
      </c>
      <c r="U169" s="63"/>
      <c r="V169" s="63"/>
      <c r="W169" s="63"/>
      <c r="X169" s="75">
        <f t="shared" si="297"/>
        <v>0</v>
      </c>
      <c r="Y169" s="194"/>
      <c r="Z169" s="63">
        <v>0</v>
      </c>
      <c r="AA169" s="63"/>
      <c r="AB169" s="63"/>
      <c r="AC169" s="63"/>
      <c r="AD169" s="75">
        <f t="shared" si="298"/>
        <v>0</v>
      </c>
      <c r="AE169" s="194"/>
      <c r="AF169" s="63">
        <v>0</v>
      </c>
      <c r="AG169" s="63"/>
      <c r="AH169" s="63"/>
      <c r="AI169" s="63"/>
      <c r="AJ169" s="75">
        <f t="shared" si="299"/>
        <v>0</v>
      </c>
      <c r="AL169" s="63"/>
      <c r="AM169" s="63"/>
      <c r="AN169" s="63"/>
      <c r="AO169" s="63"/>
      <c r="AP169" s="75">
        <f t="shared" si="300"/>
        <v>0</v>
      </c>
      <c r="AR169" s="75">
        <f t="shared" si="301"/>
        <v>0</v>
      </c>
      <c r="AS169" s="75">
        <f t="shared" si="293"/>
        <v>0</v>
      </c>
      <c r="AT169" s="75">
        <f t="shared" si="293"/>
        <v>0</v>
      </c>
      <c r="AU169" s="75">
        <f t="shared" si="293"/>
        <v>0</v>
      </c>
      <c r="AV169" s="75">
        <f t="shared" si="302"/>
        <v>0</v>
      </c>
    </row>
    <row r="170" spans="1:48" x14ac:dyDescent="0.25">
      <c r="A170" s="33" t="s">
        <v>122</v>
      </c>
      <c r="B170" s="64">
        <f>B68*0.0125</f>
        <v>128178.75</v>
      </c>
      <c r="C170" s="64"/>
      <c r="D170" s="64"/>
      <c r="E170" s="64"/>
      <c r="F170" s="75">
        <f t="shared" si="294"/>
        <v>128178.75</v>
      </c>
      <c r="H170" s="64">
        <f>H68*0.0125</f>
        <v>128178.75</v>
      </c>
      <c r="I170" s="64"/>
      <c r="J170" s="64"/>
      <c r="K170" s="64"/>
      <c r="L170" s="75">
        <f t="shared" si="295"/>
        <v>128178.75</v>
      </c>
      <c r="N170" s="64">
        <f>N68*0.0125</f>
        <v>314212.5</v>
      </c>
      <c r="O170" s="64"/>
      <c r="P170" s="64"/>
      <c r="Q170" s="64"/>
      <c r="R170" s="75">
        <f t="shared" si="296"/>
        <v>314212.5</v>
      </c>
      <c r="T170" s="64">
        <f>T68*0.0125</f>
        <v>67206.5625</v>
      </c>
      <c r="U170" s="64"/>
      <c r="V170" s="64"/>
      <c r="W170" s="64"/>
      <c r="X170" s="75">
        <f t="shared" si="297"/>
        <v>67206.5625</v>
      </c>
      <c r="Y170" s="194"/>
      <c r="Z170" s="64">
        <f>Z68*0.0125</f>
        <v>142642.5</v>
      </c>
      <c r="AA170" s="64"/>
      <c r="AB170" s="64"/>
      <c r="AC170" s="64"/>
      <c r="AD170" s="75">
        <f t="shared" si="298"/>
        <v>142642.5</v>
      </c>
      <c r="AE170" s="194"/>
      <c r="AF170" s="64">
        <f>AF68*0.005</f>
        <v>52019.625</v>
      </c>
      <c r="AG170" s="64"/>
      <c r="AH170" s="64"/>
      <c r="AI170" s="64"/>
      <c r="AJ170" s="75">
        <f t="shared" si="299"/>
        <v>52019.625</v>
      </c>
      <c r="AL170" s="64"/>
      <c r="AM170" s="64"/>
      <c r="AN170" s="64"/>
      <c r="AO170" s="64"/>
      <c r="AP170" s="75">
        <f t="shared" si="300"/>
        <v>0</v>
      </c>
      <c r="AR170" s="75">
        <f t="shared" si="301"/>
        <v>832438.6875</v>
      </c>
      <c r="AS170" s="75">
        <f t="shared" si="293"/>
        <v>0</v>
      </c>
      <c r="AT170" s="75">
        <f t="shared" si="293"/>
        <v>0</v>
      </c>
      <c r="AU170" s="75">
        <f t="shared" si="293"/>
        <v>0</v>
      </c>
      <c r="AV170" s="75">
        <f t="shared" si="302"/>
        <v>832438.6875</v>
      </c>
    </row>
    <row r="171" spans="1:48" x14ac:dyDescent="0.25">
      <c r="A171" s="34"/>
      <c r="B171" s="76">
        <f>SUM(B162:B170)</f>
        <v>836892.20938900008</v>
      </c>
      <c r="C171" s="76">
        <f t="shared" ref="C171:F171" si="303">SUM(C162:C170)</f>
        <v>0</v>
      </c>
      <c r="D171" s="76">
        <f t="shared" si="303"/>
        <v>0</v>
      </c>
      <c r="E171" s="76">
        <f t="shared" si="303"/>
        <v>0</v>
      </c>
      <c r="F171" s="76">
        <f t="shared" si="303"/>
        <v>836892.20938900008</v>
      </c>
      <c r="H171" s="76">
        <f>SUM(H162:H170)</f>
        <v>836892.20938900008</v>
      </c>
      <c r="I171" s="76">
        <f t="shared" ref="I171:L171" si="304">SUM(I162:I170)</f>
        <v>0</v>
      </c>
      <c r="J171" s="76">
        <f t="shared" si="304"/>
        <v>0</v>
      </c>
      <c r="K171" s="76">
        <f t="shared" si="304"/>
        <v>0</v>
      </c>
      <c r="L171" s="76">
        <f t="shared" si="304"/>
        <v>836892.20938900008</v>
      </c>
      <c r="N171" s="76">
        <f>SUM(N162:N170)</f>
        <v>2012717.5064800002</v>
      </c>
      <c r="O171" s="76">
        <f t="shared" ref="O171:R171" si="305">SUM(O162:O170)</f>
        <v>0</v>
      </c>
      <c r="P171" s="76">
        <f t="shared" si="305"/>
        <v>0</v>
      </c>
      <c r="Q171" s="76">
        <f t="shared" si="305"/>
        <v>0</v>
      </c>
      <c r="R171" s="76">
        <f t="shared" si="305"/>
        <v>2012717.5064800002</v>
      </c>
      <c r="T171" s="76">
        <f>SUM(T162:T170)</f>
        <v>438924.75528400001</v>
      </c>
      <c r="U171" s="76">
        <f t="shared" ref="U171:X171" si="306">SUM(U162:U170)</f>
        <v>0</v>
      </c>
      <c r="V171" s="76">
        <f t="shared" si="306"/>
        <v>0</v>
      </c>
      <c r="W171" s="76">
        <f t="shared" si="306"/>
        <v>0</v>
      </c>
      <c r="X171" s="76">
        <f t="shared" si="306"/>
        <v>438924.75528400001</v>
      </c>
      <c r="Y171" s="199"/>
      <c r="Z171" s="76">
        <f>SUM(Z162:Z170)</f>
        <v>904929.25116400002</v>
      </c>
      <c r="AA171" s="76">
        <f t="shared" ref="AA171:AD171" si="307">SUM(AA162:AA170)</f>
        <v>0</v>
      </c>
      <c r="AB171" s="76">
        <f t="shared" si="307"/>
        <v>0</v>
      </c>
      <c r="AC171" s="76">
        <f t="shared" si="307"/>
        <v>0</v>
      </c>
      <c r="AD171" s="76">
        <f t="shared" si="307"/>
        <v>904929.25116400002</v>
      </c>
      <c r="AE171" s="199"/>
      <c r="AF171" s="76">
        <f>SUM(AF162:AF170)</f>
        <v>748626.35499999998</v>
      </c>
      <c r="AG171" s="76">
        <f t="shared" ref="AG171:AJ171" si="308">SUM(AG162:AG170)</f>
        <v>0</v>
      </c>
      <c r="AH171" s="76">
        <f t="shared" si="308"/>
        <v>0</v>
      </c>
      <c r="AI171" s="76">
        <f t="shared" si="308"/>
        <v>0</v>
      </c>
      <c r="AJ171" s="76">
        <f t="shared" si="308"/>
        <v>748626.35499999998</v>
      </c>
      <c r="AL171" s="76">
        <f>SUM(AL162:AL170)</f>
        <v>11255.088100000001</v>
      </c>
      <c r="AM171" s="76">
        <f t="shared" ref="AM171:AP171" si="309">SUM(AM162:AM170)</f>
        <v>0</v>
      </c>
      <c r="AN171" s="76">
        <f t="shared" si="309"/>
        <v>0</v>
      </c>
      <c r="AO171" s="76">
        <f t="shared" si="309"/>
        <v>0</v>
      </c>
      <c r="AP171" s="76">
        <f t="shared" si="309"/>
        <v>11255.088100000001</v>
      </c>
      <c r="AR171" s="76">
        <f>SUM(AR162:AR170)</f>
        <v>5790237.3748060009</v>
      </c>
      <c r="AS171" s="76">
        <f t="shared" ref="AS171:AV171" si="310">SUM(AS162:AS170)</f>
        <v>0</v>
      </c>
      <c r="AT171" s="76">
        <f t="shared" si="310"/>
        <v>0</v>
      </c>
      <c r="AU171" s="76">
        <f t="shared" si="310"/>
        <v>0</v>
      </c>
      <c r="AV171" s="76">
        <f t="shared" si="310"/>
        <v>5790237.3748060009</v>
      </c>
    </row>
    <row r="172" spans="1:48" x14ac:dyDescent="0.25">
      <c r="B172" s="77"/>
      <c r="C172" s="77"/>
      <c r="D172" s="77"/>
      <c r="E172" s="77"/>
      <c r="F172" s="77"/>
      <c r="H172" s="77"/>
      <c r="I172" s="77"/>
      <c r="J172" s="77"/>
      <c r="K172" s="77"/>
      <c r="L172" s="77"/>
      <c r="N172" s="77"/>
      <c r="O172" s="77"/>
      <c r="P172" s="77"/>
      <c r="Q172" s="77"/>
      <c r="R172" s="77"/>
      <c r="T172" s="77"/>
      <c r="U172" s="77"/>
      <c r="V172" s="77"/>
      <c r="W172" s="77"/>
      <c r="X172" s="77"/>
      <c r="Y172" s="79"/>
      <c r="Z172" s="77"/>
      <c r="AA172" s="77"/>
      <c r="AB172" s="77"/>
      <c r="AC172" s="77"/>
      <c r="AD172" s="77"/>
      <c r="AE172" s="79"/>
      <c r="AF172" s="77"/>
      <c r="AG172" s="77"/>
      <c r="AH172" s="77"/>
      <c r="AI172" s="77"/>
      <c r="AJ172" s="77"/>
      <c r="AL172" s="77"/>
      <c r="AM172" s="77"/>
      <c r="AN172" s="77"/>
      <c r="AO172" s="77"/>
      <c r="AP172" s="77"/>
      <c r="AR172" s="77"/>
      <c r="AS172" s="77"/>
      <c r="AT172" s="77"/>
      <c r="AU172" s="77"/>
      <c r="AV172" s="77"/>
    </row>
    <row r="173" spans="1:48" x14ac:dyDescent="0.25">
      <c r="A173" s="28"/>
      <c r="B173" s="78" t="s">
        <v>157</v>
      </c>
      <c r="C173" s="78" t="s">
        <v>158</v>
      </c>
      <c r="D173" s="78" t="s">
        <v>159</v>
      </c>
      <c r="E173" s="78" t="str">
        <f>E161</f>
        <v>Other</v>
      </c>
      <c r="F173" s="78" t="str">
        <f>F161</f>
        <v>FY30- Mtn</v>
      </c>
      <c r="H173" s="78" t="s">
        <v>157</v>
      </c>
      <c r="I173" s="78" t="s">
        <v>158</v>
      </c>
      <c r="J173" s="78" t="s">
        <v>159</v>
      </c>
      <c r="K173" s="78" t="str">
        <f>K161</f>
        <v>Other</v>
      </c>
      <c r="L173" s="78" t="str">
        <f>L161</f>
        <v>FY30- Bon</v>
      </c>
      <c r="N173" s="78" t="s">
        <v>157</v>
      </c>
      <c r="O173" s="78" t="s">
        <v>158</v>
      </c>
      <c r="P173" s="78" t="s">
        <v>159</v>
      </c>
      <c r="Q173" s="78" t="str">
        <f>Q161</f>
        <v>Other</v>
      </c>
      <c r="R173" s="78" t="str">
        <f>R161</f>
        <v>FY30- East</v>
      </c>
      <c r="T173" s="78" t="s">
        <v>157</v>
      </c>
      <c r="U173" s="78" t="s">
        <v>158</v>
      </c>
      <c r="V173" s="78" t="s">
        <v>159</v>
      </c>
      <c r="W173" s="78" t="str">
        <f>W161</f>
        <v>Other</v>
      </c>
      <c r="X173" s="78" t="str">
        <f>X161</f>
        <v>FY30- Cactus</v>
      </c>
      <c r="Y173" s="201"/>
      <c r="Z173" s="78" t="s">
        <v>157</v>
      </c>
      <c r="AA173" s="78" t="s">
        <v>158</v>
      </c>
      <c r="AB173" s="78" t="s">
        <v>159</v>
      </c>
      <c r="AC173" s="78" t="str">
        <f>AC161</f>
        <v>Other</v>
      </c>
      <c r="AD173" s="78" t="str">
        <f>AD161</f>
        <v>FY30- Sahara</v>
      </c>
      <c r="AE173" s="201"/>
      <c r="AF173" s="78" t="s">
        <v>157</v>
      </c>
      <c r="AG173" s="78" t="s">
        <v>158</v>
      </c>
      <c r="AH173" s="78" t="s">
        <v>159</v>
      </c>
      <c r="AI173" s="78" t="str">
        <f>AI161</f>
        <v>Other</v>
      </c>
      <c r="AJ173" s="78" t="str">
        <f>AJ161</f>
        <v>FY30- VV</v>
      </c>
      <c r="AL173" s="78" t="s">
        <v>157</v>
      </c>
      <c r="AM173" s="78" t="s">
        <v>158</v>
      </c>
      <c r="AN173" s="78" t="s">
        <v>159</v>
      </c>
      <c r="AO173" s="78" t="str">
        <f>AO161</f>
        <v>Grant</v>
      </c>
      <c r="AP173" s="78" t="str">
        <f>AP161</f>
        <v>FY30 - Central</v>
      </c>
      <c r="AR173" s="78" t="s">
        <v>157</v>
      </c>
      <c r="AS173" s="78" t="s">
        <v>158</v>
      </c>
      <c r="AT173" s="78" t="s">
        <v>159</v>
      </c>
      <c r="AU173" s="78" t="str">
        <f>AU161</f>
        <v>Other</v>
      </c>
      <c r="AV173" s="78" t="str">
        <f>AV161</f>
        <v>FY29- Sys</v>
      </c>
    </row>
    <row r="174" spans="1:48" x14ac:dyDescent="0.25">
      <c r="A174" s="35" t="s">
        <v>123</v>
      </c>
      <c r="B174" s="75">
        <f>((400*12)+7800)*1.02*1.01*1.01*1.01</f>
        <v>13241.428452000002</v>
      </c>
      <c r="C174" s="75"/>
      <c r="D174" s="75"/>
      <c r="E174" s="75"/>
      <c r="F174" s="75">
        <f>SUM(B174:E174)</f>
        <v>13241.428452000002</v>
      </c>
      <c r="H174" s="75">
        <f>((400*12)+7800)*1.01*1.02*1.02*1.01</f>
        <v>13372.531704000001</v>
      </c>
      <c r="I174" s="75"/>
      <c r="J174" s="75"/>
      <c r="K174" s="75"/>
      <c r="L174" s="75">
        <f>SUM(H174:K174)</f>
        <v>13372.531704000001</v>
      </c>
      <c r="N174" s="75">
        <f>(9600+17400)*1.02*1.02*1.02*1.01</f>
        <v>28939.142159999999</v>
      </c>
      <c r="O174" s="75"/>
      <c r="P174" s="75"/>
      <c r="Q174" s="75"/>
      <c r="R174" s="75">
        <f>SUM(N174:Q174)</f>
        <v>28939.142159999999</v>
      </c>
      <c r="T174" s="60">
        <f>((1060*12)+(60*12))*1.03*1.02*1.02*1.01</f>
        <v>14546.489932800001</v>
      </c>
      <c r="U174" s="75"/>
      <c r="V174" s="75"/>
      <c r="W174" s="75"/>
      <c r="X174" s="75">
        <f>SUM(T174:W174)</f>
        <v>14546.489932800001</v>
      </c>
      <c r="Y174" s="194"/>
      <c r="Z174" s="60">
        <f>((1160*12)+(65*12))*1.03*1.03*1.02</f>
        <v>15907.134599999999</v>
      </c>
      <c r="AA174" s="75"/>
      <c r="AB174" s="75"/>
      <c r="AC174" s="75"/>
      <c r="AD174" s="75">
        <f>SUM(Z174:AC174)</f>
        <v>15907.134599999999</v>
      </c>
      <c r="AE174" s="194"/>
      <c r="AF174" s="60">
        <f>((1060*12)+(60*12))*1.03*1.02*1.02</f>
        <v>14402.46528</v>
      </c>
      <c r="AG174" s="75"/>
      <c r="AH174" s="75"/>
      <c r="AI174" s="75"/>
      <c r="AJ174" s="75">
        <f>SUM(AF174:AI174)</f>
        <v>14402.46528</v>
      </c>
      <c r="AL174" s="60"/>
      <c r="AM174" s="60"/>
      <c r="AN174" s="60"/>
      <c r="AO174" s="60"/>
      <c r="AP174" s="75">
        <f>SUM(AL174:AO174)</f>
        <v>0</v>
      </c>
      <c r="AR174" s="60">
        <f>B174+H174+N174+T174+AL174+AF174+Z174</f>
        <v>100409.19212880002</v>
      </c>
      <c r="AS174" s="60">
        <f t="shared" ref="AS174:AU189" si="311">C174+I174+O174+U174+AM174+AG174+AA174</f>
        <v>0</v>
      </c>
      <c r="AT174" s="60">
        <f t="shared" si="311"/>
        <v>0</v>
      </c>
      <c r="AU174" s="60">
        <f t="shared" si="311"/>
        <v>0</v>
      </c>
      <c r="AV174" s="75">
        <f>SUM(AR174:AU174)</f>
        <v>100409.19212880002</v>
      </c>
    </row>
    <row r="175" spans="1:48" x14ac:dyDescent="0.25">
      <c r="A175" s="32" t="s">
        <v>124</v>
      </c>
      <c r="B175" s="75">
        <f>1000+200+200+200+200</f>
        <v>1800</v>
      </c>
      <c r="C175" s="63"/>
      <c r="D175" s="63"/>
      <c r="E175" s="63"/>
      <c r="F175" s="75">
        <f t="shared" ref="F175:F193" si="312">SUM(B175:E175)</f>
        <v>1800</v>
      </c>
      <c r="H175" s="75">
        <f>1000+200+200+200+200</f>
        <v>1800</v>
      </c>
      <c r="I175" s="63"/>
      <c r="J175" s="63"/>
      <c r="K175" s="63"/>
      <c r="L175" s="75">
        <f t="shared" ref="L175:L193" si="313">SUM(H175:K175)</f>
        <v>1800</v>
      </c>
      <c r="N175" s="75">
        <f>2000+200+200+200+200</f>
        <v>2800</v>
      </c>
      <c r="O175" s="63"/>
      <c r="P175" s="63"/>
      <c r="Q175" s="63"/>
      <c r="R175" s="75">
        <f t="shared" ref="R175:R193" si="314">SUM(N175:Q175)</f>
        <v>2800</v>
      </c>
      <c r="T175" s="60">
        <f>500+150+150+150+150</f>
        <v>1100</v>
      </c>
      <c r="U175" s="63"/>
      <c r="V175" s="63"/>
      <c r="W175" s="63"/>
      <c r="X175" s="75">
        <f t="shared" ref="X175:X193" si="315">SUM(T175:W175)</f>
        <v>1100</v>
      </c>
      <c r="Y175" s="194"/>
      <c r="Z175" s="60">
        <f>500+150+150+200+200</f>
        <v>1200</v>
      </c>
      <c r="AA175" s="63"/>
      <c r="AB175" s="63"/>
      <c r="AC175" s="63"/>
      <c r="AD175" s="75">
        <f t="shared" ref="AD175:AD193" si="316">SUM(Z175:AC175)</f>
        <v>1200</v>
      </c>
      <c r="AE175" s="194"/>
      <c r="AF175" s="60">
        <f>500+150+150+150</f>
        <v>950</v>
      </c>
      <c r="AG175" s="63"/>
      <c r="AH175" s="63"/>
      <c r="AI175" s="63"/>
      <c r="AJ175" s="75">
        <f t="shared" ref="AJ175:AJ193" si="317">SUM(AF175:AI175)</f>
        <v>950</v>
      </c>
      <c r="AL175" s="60"/>
      <c r="AM175" s="61"/>
      <c r="AN175" s="61"/>
      <c r="AO175" s="61"/>
      <c r="AP175" s="75">
        <f t="shared" ref="AP175:AP193" si="318">SUM(AL175:AO175)</f>
        <v>0</v>
      </c>
      <c r="AR175" s="60">
        <f t="shared" ref="AR175:AU193" si="319">B175+H175+N175+T175+AL175+AF175+Z175</f>
        <v>9650</v>
      </c>
      <c r="AS175" s="60">
        <f t="shared" si="311"/>
        <v>0</v>
      </c>
      <c r="AT175" s="60">
        <f t="shared" si="311"/>
        <v>0</v>
      </c>
      <c r="AU175" s="60">
        <f t="shared" si="311"/>
        <v>0</v>
      </c>
      <c r="AV175" s="75">
        <f t="shared" ref="AV175:AV193" si="320">SUM(AR175:AU175)</f>
        <v>9650</v>
      </c>
    </row>
    <row r="176" spans="1:48" x14ac:dyDescent="0.25">
      <c r="A176" s="32" t="s">
        <v>125</v>
      </c>
      <c r="B176" s="60">
        <f>6500+250+250+250+250</f>
        <v>7500</v>
      </c>
      <c r="C176" s="63"/>
      <c r="D176" s="63"/>
      <c r="E176" s="63"/>
      <c r="F176" s="75">
        <f t="shared" si="312"/>
        <v>7500</v>
      </c>
      <c r="H176" s="60">
        <f>6500+250+250+200+300</f>
        <v>7500</v>
      </c>
      <c r="I176" s="63"/>
      <c r="J176" s="63"/>
      <c r="K176" s="63"/>
      <c r="L176" s="75">
        <f t="shared" si="313"/>
        <v>7500</v>
      </c>
      <c r="N176" s="60">
        <f>6500+500+500+500+500</f>
        <v>8500</v>
      </c>
      <c r="O176" s="63"/>
      <c r="P176" s="63"/>
      <c r="Q176" s="63"/>
      <c r="R176" s="75">
        <f t="shared" si="314"/>
        <v>8500</v>
      </c>
      <c r="T176" s="60">
        <f>6500+500+500+500+500</f>
        <v>8500</v>
      </c>
      <c r="U176" s="63"/>
      <c r="V176" s="63"/>
      <c r="W176" s="63"/>
      <c r="X176" s="75">
        <f t="shared" si="315"/>
        <v>8500</v>
      </c>
      <c r="Y176" s="194"/>
      <c r="Z176" s="60">
        <f>6500+500+500+500+500</f>
        <v>8500</v>
      </c>
      <c r="AA176" s="63"/>
      <c r="AB176" s="63"/>
      <c r="AC176" s="63"/>
      <c r="AD176" s="75">
        <f t="shared" si="316"/>
        <v>8500</v>
      </c>
      <c r="AE176" s="194"/>
      <c r="AF176" s="60">
        <f>6500+500+500+500</f>
        <v>8000</v>
      </c>
      <c r="AG176" s="63"/>
      <c r="AH176" s="63"/>
      <c r="AI176" s="63"/>
      <c r="AJ176" s="75">
        <f t="shared" si="317"/>
        <v>8000</v>
      </c>
      <c r="AL176" s="60"/>
      <c r="AM176" s="61"/>
      <c r="AN176" s="61"/>
      <c r="AO176" s="61"/>
      <c r="AP176" s="75">
        <f t="shared" si="318"/>
        <v>0</v>
      </c>
      <c r="AR176" s="60">
        <f t="shared" si="319"/>
        <v>48500</v>
      </c>
      <c r="AS176" s="60">
        <f t="shared" si="311"/>
        <v>0</v>
      </c>
      <c r="AT176" s="60">
        <f t="shared" si="311"/>
        <v>0</v>
      </c>
      <c r="AU176" s="60">
        <f t="shared" si="311"/>
        <v>0</v>
      </c>
      <c r="AV176" s="75">
        <f t="shared" si="320"/>
        <v>48500</v>
      </c>
    </row>
    <row r="177" spans="1:48" x14ac:dyDescent="0.25">
      <c r="A177" s="32" t="s">
        <v>126</v>
      </c>
      <c r="B177" s="60">
        <f>39000+500+500+500+500</f>
        <v>41000</v>
      </c>
      <c r="C177" s="63"/>
      <c r="D177" s="63"/>
      <c r="E177" s="63"/>
      <c r="F177" s="75">
        <f t="shared" si="312"/>
        <v>41000</v>
      </c>
      <c r="H177" s="60">
        <f>39000+500+500+500+500</f>
        <v>41000</v>
      </c>
      <c r="I177" s="63"/>
      <c r="J177" s="63"/>
      <c r="K177" s="63"/>
      <c r="L177" s="75">
        <f t="shared" si="313"/>
        <v>41000</v>
      </c>
      <c r="N177" s="60">
        <f>100000+3000+2000+1500+1500</f>
        <v>108000</v>
      </c>
      <c r="O177" s="63"/>
      <c r="P177" s="63"/>
      <c r="Q177" s="63"/>
      <c r="R177" s="75">
        <f t="shared" si="314"/>
        <v>108000</v>
      </c>
      <c r="T177" s="60">
        <f>17500+2500+1000+500+1000</f>
        <v>22500</v>
      </c>
      <c r="U177" s="63"/>
      <c r="V177" s="63"/>
      <c r="W177" s="63"/>
      <c r="X177" s="75">
        <f t="shared" si="315"/>
        <v>22500</v>
      </c>
      <c r="Y177" s="194"/>
      <c r="Z177" s="60">
        <v>40000</v>
      </c>
      <c r="AA177" s="63"/>
      <c r="AB177" s="63"/>
      <c r="AC177" s="63"/>
      <c r="AD177" s="75">
        <f t="shared" si="316"/>
        <v>40000</v>
      </c>
      <c r="AE177" s="194"/>
      <c r="AF177" s="60">
        <f>40000*1.03*1.03</f>
        <v>42436</v>
      </c>
      <c r="AG177" s="63"/>
      <c r="AH177" s="63"/>
      <c r="AI177" s="63"/>
      <c r="AJ177" s="75">
        <f t="shared" si="317"/>
        <v>42436</v>
      </c>
      <c r="AL177" s="60"/>
      <c r="AM177" s="61"/>
      <c r="AN177" s="61"/>
      <c r="AO177" s="61"/>
      <c r="AP177" s="75">
        <f t="shared" si="318"/>
        <v>0</v>
      </c>
      <c r="AR177" s="60">
        <f t="shared" si="319"/>
        <v>294936</v>
      </c>
      <c r="AS177" s="60">
        <f t="shared" si="311"/>
        <v>0</v>
      </c>
      <c r="AT177" s="60">
        <f t="shared" si="311"/>
        <v>0</v>
      </c>
      <c r="AU177" s="60">
        <f t="shared" si="311"/>
        <v>0</v>
      </c>
      <c r="AV177" s="75">
        <f t="shared" si="320"/>
        <v>294936</v>
      </c>
    </row>
    <row r="178" spans="1:48" x14ac:dyDescent="0.25">
      <c r="A178" s="32" t="s">
        <v>127</v>
      </c>
      <c r="B178" s="60">
        <f>((2+2.5+0.4+1.95)*B17)*1.02*1.02*1.02*1.02</f>
        <v>7622.2707842880009</v>
      </c>
      <c r="C178" s="63"/>
      <c r="D178" s="63"/>
      <c r="E178" s="63"/>
      <c r="F178" s="75">
        <f t="shared" si="312"/>
        <v>7622.2707842880009</v>
      </c>
      <c r="H178" s="60">
        <f>((2+2.5+0.4+1.95)*H17)*1.01*1.02*1.02*1.02</f>
        <v>7547.5426393440002</v>
      </c>
      <c r="I178" s="63"/>
      <c r="J178" s="63"/>
      <c r="K178" s="63"/>
      <c r="L178" s="75">
        <f t="shared" si="313"/>
        <v>7547.5426393440002</v>
      </c>
      <c r="N178" s="60">
        <f>((2+2.5+0.4+1.95)*N17)*1.02*1.02*1.02*1.02</f>
        <v>18684.943945920004</v>
      </c>
      <c r="O178" s="63"/>
      <c r="P178" s="63"/>
      <c r="Q178" s="63"/>
      <c r="R178" s="75">
        <f t="shared" si="314"/>
        <v>18684.943945920004</v>
      </c>
      <c r="T178" s="60">
        <f>((2+2.5+0.4+1.95)*T17)*1.03*1.03*1.03*1.03</f>
        <v>4155.5473528415005</v>
      </c>
      <c r="U178" s="63"/>
      <c r="V178" s="63"/>
      <c r="W178" s="63"/>
      <c r="X178" s="75">
        <f t="shared" si="315"/>
        <v>4155.5473528415005</v>
      </c>
      <c r="Y178" s="194"/>
      <c r="Z178" s="60">
        <f>((2+2.5+0.4+1.95)*Z17)*1.03*1.02*1.02*1.02</f>
        <v>8565.5318823360012</v>
      </c>
      <c r="AA178" s="63"/>
      <c r="AB178" s="63"/>
      <c r="AC178" s="63"/>
      <c r="AD178" s="75">
        <f t="shared" si="316"/>
        <v>8565.5318823360012</v>
      </c>
      <c r="AE178" s="194"/>
      <c r="AF178" s="60">
        <f>((2+2.5+0.4+1.95)*AF17)*1.03*1.02*1.02</f>
        <v>7656.1855146000007</v>
      </c>
      <c r="AG178" s="63"/>
      <c r="AH178" s="63"/>
      <c r="AI178" s="63"/>
      <c r="AJ178" s="75">
        <f t="shared" si="317"/>
        <v>7656.1855146000007</v>
      </c>
      <c r="AL178" s="60"/>
      <c r="AM178" s="61"/>
      <c r="AN178" s="61"/>
      <c r="AO178" s="61"/>
      <c r="AP178" s="75">
        <f t="shared" si="318"/>
        <v>0</v>
      </c>
      <c r="AR178" s="60">
        <f t="shared" si="319"/>
        <v>54232.022119329507</v>
      </c>
      <c r="AS178" s="60">
        <f t="shared" si="311"/>
        <v>0</v>
      </c>
      <c r="AT178" s="60">
        <f t="shared" si="311"/>
        <v>0</v>
      </c>
      <c r="AU178" s="60">
        <f t="shared" si="311"/>
        <v>0</v>
      </c>
      <c r="AV178" s="75">
        <f t="shared" si="320"/>
        <v>54232.022119329507</v>
      </c>
    </row>
    <row r="179" spans="1:48" x14ac:dyDescent="0.25">
      <c r="A179" s="32" t="s">
        <v>128</v>
      </c>
      <c r="B179" s="60">
        <f>174000*1.1*1.1*1.1*1.1</f>
        <v>254753.40000000011</v>
      </c>
      <c r="C179" s="63"/>
      <c r="D179" s="63"/>
      <c r="E179" s="63"/>
      <c r="F179" s="75">
        <f t="shared" si="312"/>
        <v>254753.40000000011</v>
      </c>
      <c r="H179" s="60">
        <f>174000*1.1*1.1*1.1*1.1</f>
        <v>254753.40000000011</v>
      </c>
      <c r="I179" s="63"/>
      <c r="J179" s="63"/>
      <c r="K179" s="63"/>
      <c r="L179" s="75">
        <f t="shared" si="313"/>
        <v>254753.40000000011</v>
      </c>
      <c r="N179" s="60">
        <f>425000*1.1*1.1*1.1*1.1</f>
        <v>622242.50000000023</v>
      </c>
      <c r="O179" s="63"/>
      <c r="P179" s="63"/>
      <c r="Q179" s="63"/>
      <c r="R179" s="75">
        <f t="shared" si="314"/>
        <v>622242.50000000023</v>
      </c>
      <c r="T179" s="60">
        <f>40000*1.15*1.15*1.15*1.15</f>
        <v>69960.249999999971</v>
      </c>
      <c r="U179" s="63"/>
      <c r="V179" s="63"/>
      <c r="W179" s="63"/>
      <c r="X179" s="75">
        <f t="shared" si="315"/>
        <v>69960.249999999971</v>
      </c>
      <c r="Y179" s="194"/>
      <c r="Z179" s="60">
        <v>200000</v>
      </c>
      <c r="AA179" s="63"/>
      <c r="AB179" s="63"/>
      <c r="AC179" s="63"/>
      <c r="AD179" s="75">
        <f t="shared" si="316"/>
        <v>200000</v>
      </c>
      <c r="AE179" s="194"/>
      <c r="AF179" s="60">
        <v>180000</v>
      </c>
      <c r="AG179" s="63"/>
      <c r="AH179" s="63"/>
      <c r="AI179" s="63"/>
      <c r="AJ179" s="75">
        <f t="shared" si="317"/>
        <v>180000</v>
      </c>
      <c r="AL179" s="60"/>
      <c r="AM179" s="61"/>
      <c r="AN179" s="61"/>
      <c r="AO179" s="61"/>
      <c r="AP179" s="75">
        <f t="shared" si="318"/>
        <v>0</v>
      </c>
      <c r="AR179" s="60">
        <f t="shared" si="319"/>
        <v>1581709.5500000005</v>
      </c>
      <c r="AS179" s="60">
        <f t="shared" si="311"/>
        <v>0</v>
      </c>
      <c r="AT179" s="60">
        <f t="shared" si="311"/>
        <v>0</v>
      </c>
      <c r="AU179" s="60">
        <f t="shared" si="311"/>
        <v>0</v>
      </c>
      <c r="AV179" s="75">
        <f t="shared" si="320"/>
        <v>1581709.5500000005</v>
      </c>
    </row>
    <row r="180" spans="1:48" x14ac:dyDescent="0.25">
      <c r="A180" s="32" t="s">
        <v>129</v>
      </c>
      <c r="B180" s="60">
        <v>0</v>
      </c>
      <c r="C180" s="63"/>
      <c r="D180" s="61">
        <f>2.7*950*180</f>
        <v>461700</v>
      </c>
      <c r="E180" s="63"/>
      <c r="F180" s="75">
        <f t="shared" si="312"/>
        <v>461700</v>
      </c>
      <c r="H180" s="60">
        <v>0</v>
      </c>
      <c r="I180" s="63"/>
      <c r="J180" s="61">
        <f>875*2.7*180</f>
        <v>425250</v>
      </c>
      <c r="K180" s="63"/>
      <c r="L180" s="75">
        <f t="shared" si="313"/>
        <v>425250</v>
      </c>
      <c r="N180" s="60">
        <v>0</v>
      </c>
      <c r="O180" s="63"/>
      <c r="P180" s="61">
        <f>1100*2.7*180</f>
        <v>534600</v>
      </c>
      <c r="Q180" s="63"/>
      <c r="R180" s="75">
        <f t="shared" si="314"/>
        <v>534600</v>
      </c>
      <c r="T180" s="60">
        <v>0</v>
      </c>
      <c r="U180" s="63"/>
      <c r="V180" s="61">
        <f>2.6*330*180</f>
        <v>154440</v>
      </c>
      <c r="W180" s="63"/>
      <c r="X180" s="75">
        <f t="shared" si="315"/>
        <v>154440</v>
      </c>
      <c r="Y180" s="194"/>
      <c r="Z180" s="60">
        <v>0</v>
      </c>
      <c r="AA180" s="63"/>
      <c r="AB180" s="61">
        <f>2.6*805*180</f>
        <v>376740</v>
      </c>
      <c r="AC180" s="63"/>
      <c r="AD180" s="75">
        <f t="shared" si="316"/>
        <v>376740</v>
      </c>
      <c r="AE180" s="194"/>
      <c r="AF180" s="60">
        <v>0</v>
      </c>
      <c r="AG180" s="63"/>
      <c r="AH180" s="61">
        <f>2.5*650*180</f>
        <v>292500</v>
      </c>
      <c r="AI180" s="63"/>
      <c r="AJ180" s="75">
        <f t="shared" si="317"/>
        <v>292500</v>
      </c>
      <c r="AL180" s="60"/>
      <c r="AM180" s="61"/>
      <c r="AN180" s="61"/>
      <c r="AO180" s="61"/>
      <c r="AP180" s="75">
        <f t="shared" si="318"/>
        <v>0</v>
      </c>
      <c r="AR180" s="60">
        <f t="shared" si="319"/>
        <v>0</v>
      </c>
      <c r="AS180" s="60">
        <f t="shared" si="311"/>
        <v>0</v>
      </c>
      <c r="AT180" s="60">
        <f t="shared" si="311"/>
        <v>2245230</v>
      </c>
      <c r="AU180" s="60">
        <f t="shared" si="311"/>
        <v>0</v>
      </c>
      <c r="AV180" s="75">
        <f t="shared" si="320"/>
        <v>2245230</v>
      </c>
    </row>
    <row r="181" spans="1:48" x14ac:dyDescent="0.25">
      <c r="A181" s="32" t="s">
        <v>130</v>
      </c>
      <c r="B181" s="60">
        <v>0</v>
      </c>
      <c r="C181" s="63"/>
      <c r="D181" s="61">
        <f>805*4.11*180</f>
        <v>595539</v>
      </c>
      <c r="E181" s="63"/>
      <c r="F181" s="75">
        <f t="shared" si="312"/>
        <v>595539</v>
      </c>
      <c r="H181" s="60">
        <v>0</v>
      </c>
      <c r="I181" s="63"/>
      <c r="J181" s="61">
        <f>600*4.11*180</f>
        <v>443880</v>
      </c>
      <c r="K181" s="63"/>
      <c r="L181" s="75">
        <f t="shared" si="313"/>
        <v>443880</v>
      </c>
      <c r="N181" s="60">
        <v>0</v>
      </c>
      <c r="O181" s="63"/>
      <c r="P181" s="61">
        <f>1100*4.11*180</f>
        <v>813780</v>
      </c>
      <c r="Q181" s="63"/>
      <c r="R181" s="75">
        <f t="shared" si="314"/>
        <v>813780</v>
      </c>
      <c r="T181" s="60">
        <v>0</v>
      </c>
      <c r="U181" s="63"/>
      <c r="V181" s="61">
        <f>330*4.1*180</f>
        <v>243539.99999999997</v>
      </c>
      <c r="W181" s="63"/>
      <c r="X181" s="75">
        <f t="shared" si="315"/>
        <v>243539.99999999997</v>
      </c>
      <c r="Y181" s="194"/>
      <c r="Z181" s="60">
        <v>0</v>
      </c>
      <c r="AA181" s="63"/>
      <c r="AB181" s="61">
        <f>830*4.1*180</f>
        <v>612539.99999999988</v>
      </c>
      <c r="AC181" s="63"/>
      <c r="AD181" s="75">
        <f t="shared" si="316"/>
        <v>612539.99999999988</v>
      </c>
      <c r="AE181" s="194"/>
      <c r="AF181" s="60">
        <v>0</v>
      </c>
      <c r="AG181" s="63"/>
      <c r="AH181" s="61">
        <f>650*4*180</f>
        <v>468000</v>
      </c>
      <c r="AI181" s="63"/>
      <c r="AJ181" s="75">
        <f t="shared" si="317"/>
        <v>468000</v>
      </c>
      <c r="AL181" s="60"/>
      <c r="AM181" s="61"/>
      <c r="AN181" s="61"/>
      <c r="AO181" s="61"/>
      <c r="AP181" s="75">
        <f t="shared" si="318"/>
        <v>0</v>
      </c>
      <c r="AR181" s="60">
        <f t="shared" si="319"/>
        <v>0</v>
      </c>
      <c r="AS181" s="60">
        <f t="shared" si="311"/>
        <v>0</v>
      </c>
      <c r="AT181" s="60">
        <f t="shared" si="311"/>
        <v>3177279</v>
      </c>
      <c r="AU181" s="60">
        <f t="shared" si="311"/>
        <v>0</v>
      </c>
      <c r="AV181" s="75">
        <f t="shared" si="320"/>
        <v>3177279</v>
      </c>
    </row>
    <row r="182" spans="1:48" x14ac:dyDescent="0.25">
      <c r="A182" s="32" t="s">
        <v>131</v>
      </c>
      <c r="B182" s="60">
        <f>5000+500+500+500+500</f>
        <v>7000</v>
      </c>
      <c r="C182" s="63"/>
      <c r="D182" s="63"/>
      <c r="E182" s="63"/>
      <c r="F182" s="75">
        <f t="shared" si="312"/>
        <v>7000</v>
      </c>
      <c r="H182" s="60">
        <f>5000+500+500+500+500</f>
        <v>7000</v>
      </c>
      <c r="I182" s="63"/>
      <c r="J182" s="63"/>
      <c r="K182" s="63"/>
      <c r="L182" s="75">
        <f t="shared" si="313"/>
        <v>7000</v>
      </c>
      <c r="N182" s="60">
        <f>6000+500+500+500+500</f>
        <v>8000</v>
      </c>
      <c r="O182" s="63"/>
      <c r="P182" s="63"/>
      <c r="Q182" s="63"/>
      <c r="R182" s="75">
        <f t="shared" si="314"/>
        <v>8000</v>
      </c>
      <c r="T182" s="60">
        <f>5000+2500+1000+500+500</f>
        <v>9500</v>
      </c>
      <c r="U182" s="63"/>
      <c r="V182" s="63"/>
      <c r="W182" s="63"/>
      <c r="X182" s="75">
        <f t="shared" si="315"/>
        <v>9500</v>
      </c>
      <c r="Y182" s="194"/>
      <c r="Z182" s="60">
        <f>5000+2500+500+1000+500</f>
        <v>9500</v>
      </c>
      <c r="AA182" s="63"/>
      <c r="AB182" s="63"/>
      <c r="AC182" s="63"/>
      <c r="AD182" s="75">
        <f t="shared" si="316"/>
        <v>9500</v>
      </c>
      <c r="AE182" s="194"/>
      <c r="AF182" s="60">
        <f>5000+2500+250+250</f>
        <v>8000</v>
      </c>
      <c r="AG182" s="63"/>
      <c r="AH182" s="63"/>
      <c r="AI182" s="63"/>
      <c r="AJ182" s="75">
        <f t="shared" si="317"/>
        <v>8000</v>
      </c>
      <c r="AL182" s="60"/>
      <c r="AM182" s="61"/>
      <c r="AN182" s="61"/>
      <c r="AO182" s="61"/>
      <c r="AP182" s="75">
        <f t="shared" si="318"/>
        <v>0</v>
      </c>
      <c r="AR182" s="60">
        <f t="shared" si="319"/>
        <v>49000</v>
      </c>
      <c r="AS182" s="60">
        <f t="shared" si="311"/>
        <v>0</v>
      </c>
      <c r="AT182" s="60">
        <f t="shared" si="311"/>
        <v>0</v>
      </c>
      <c r="AU182" s="60">
        <f t="shared" si="311"/>
        <v>0</v>
      </c>
      <c r="AV182" s="75">
        <f t="shared" si="320"/>
        <v>49000</v>
      </c>
    </row>
    <row r="183" spans="1:48" x14ac:dyDescent="0.25">
      <c r="A183" s="32" t="s">
        <v>132</v>
      </c>
      <c r="B183" s="60">
        <f>1000+250+250+250+250</f>
        <v>2000</v>
      </c>
      <c r="C183" s="63"/>
      <c r="D183" s="63"/>
      <c r="E183" s="63"/>
      <c r="F183" s="75">
        <f t="shared" si="312"/>
        <v>2000</v>
      </c>
      <c r="H183" s="60">
        <f>1000+250+200+200+200</f>
        <v>1850</v>
      </c>
      <c r="I183" s="63"/>
      <c r="J183" s="63"/>
      <c r="K183" s="63"/>
      <c r="L183" s="75">
        <f t="shared" si="313"/>
        <v>1850</v>
      </c>
      <c r="N183" s="60">
        <f>2000+250+250+250+250</f>
        <v>3000</v>
      </c>
      <c r="O183" s="63"/>
      <c r="P183" s="63"/>
      <c r="Q183" s="63"/>
      <c r="R183" s="75">
        <f t="shared" si="314"/>
        <v>3000</v>
      </c>
      <c r="T183" s="60">
        <f>1000+100+100+250+300</f>
        <v>1750</v>
      </c>
      <c r="U183" s="63"/>
      <c r="V183" s="63"/>
      <c r="W183" s="63"/>
      <c r="X183" s="75">
        <f t="shared" si="315"/>
        <v>1750</v>
      </c>
      <c r="Y183" s="194"/>
      <c r="Z183" s="60">
        <f>1000+100+100+100+100</f>
        <v>1400</v>
      </c>
      <c r="AA183" s="63"/>
      <c r="AB183" s="63"/>
      <c r="AC183" s="63"/>
      <c r="AD183" s="75">
        <f t="shared" si="316"/>
        <v>1400</v>
      </c>
      <c r="AE183" s="194"/>
      <c r="AF183" s="60">
        <f>1000+100+100+100</f>
        <v>1300</v>
      </c>
      <c r="AG183" s="63"/>
      <c r="AH183" s="63"/>
      <c r="AI183" s="63"/>
      <c r="AJ183" s="75">
        <f t="shared" si="317"/>
        <v>1300</v>
      </c>
      <c r="AL183" s="60"/>
      <c r="AM183" s="61"/>
      <c r="AN183" s="61"/>
      <c r="AO183" s="61"/>
      <c r="AP183" s="75">
        <f t="shared" si="318"/>
        <v>0</v>
      </c>
      <c r="AR183" s="60">
        <f t="shared" si="319"/>
        <v>11300</v>
      </c>
      <c r="AS183" s="60">
        <f t="shared" si="311"/>
        <v>0</v>
      </c>
      <c r="AT183" s="60">
        <f t="shared" si="311"/>
        <v>0</v>
      </c>
      <c r="AU183" s="60">
        <f t="shared" si="311"/>
        <v>0</v>
      </c>
      <c r="AV183" s="75">
        <f t="shared" si="320"/>
        <v>11300</v>
      </c>
    </row>
    <row r="184" spans="1:48" x14ac:dyDescent="0.25">
      <c r="A184" s="32" t="s">
        <v>133</v>
      </c>
      <c r="B184" s="60">
        <f>1000+100+100+100+100</f>
        <v>1400</v>
      </c>
      <c r="C184" s="63"/>
      <c r="D184" s="63"/>
      <c r="E184" s="63"/>
      <c r="F184" s="75">
        <f t="shared" si="312"/>
        <v>1400</v>
      </c>
      <c r="H184" s="60">
        <f>1000+100+100+100+100</f>
        <v>1400</v>
      </c>
      <c r="I184" s="63"/>
      <c r="J184" s="63"/>
      <c r="K184" s="63"/>
      <c r="L184" s="75">
        <f t="shared" si="313"/>
        <v>1400</v>
      </c>
      <c r="N184" s="60">
        <f>2000+200+200+200+200</f>
        <v>2800</v>
      </c>
      <c r="O184" s="63"/>
      <c r="P184" s="63"/>
      <c r="Q184" s="63"/>
      <c r="R184" s="75">
        <f t="shared" si="314"/>
        <v>2800</v>
      </c>
      <c r="T184" s="60">
        <f>1000+100+100+100+100</f>
        <v>1400</v>
      </c>
      <c r="U184" s="63"/>
      <c r="V184" s="63"/>
      <c r="W184" s="63"/>
      <c r="X184" s="75">
        <f t="shared" si="315"/>
        <v>1400</v>
      </c>
      <c r="Y184" s="194"/>
      <c r="Z184" s="60">
        <f>1000+100+100+100+100</f>
        <v>1400</v>
      </c>
      <c r="AA184" s="63"/>
      <c r="AB184" s="63"/>
      <c r="AC184" s="63"/>
      <c r="AD184" s="75">
        <f t="shared" si="316"/>
        <v>1400</v>
      </c>
      <c r="AE184" s="194"/>
      <c r="AF184" s="60">
        <f>1000+100+100+100</f>
        <v>1300</v>
      </c>
      <c r="AG184" s="63"/>
      <c r="AH184" s="63"/>
      <c r="AI184" s="63"/>
      <c r="AJ184" s="75">
        <f t="shared" si="317"/>
        <v>1300</v>
      </c>
      <c r="AL184" s="60"/>
      <c r="AM184" s="61"/>
      <c r="AN184" s="61"/>
      <c r="AO184" s="61"/>
      <c r="AP184" s="75">
        <f t="shared" si="318"/>
        <v>0</v>
      </c>
      <c r="AR184" s="60">
        <f t="shared" si="319"/>
        <v>9700</v>
      </c>
      <c r="AS184" s="60">
        <f t="shared" si="311"/>
        <v>0</v>
      </c>
      <c r="AT184" s="60">
        <f t="shared" si="311"/>
        <v>0</v>
      </c>
      <c r="AU184" s="60">
        <f t="shared" si="311"/>
        <v>0</v>
      </c>
      <c r="AV184" s="75">
        <f t="shared" si="320"/>
        <v>9700</v>
      </c>
    </row>
    <row r="185" spans="1:48" x14ac:dyDescent="0.25">
      <c r="A185" s="32" t="s">
        <v>134</v>
      </c>
      <c r="B185" s="63">
        <f>(11*1050)+1200+3000+4500</f>
        <v>20250</v>
      </c>
      <c r="C185" s="63"/>
      <c r="D185" s="63"/>
      <c r="E185" s="63"/>
      <c r="F185" s="75">
        <f t="shared" si="312"/>
        <v>20250</v>
      </c>
      <c r="H185" s="63">
        <f>(11*1050)+1200+3000+5500</f>
        <v>21250</v>
      </c>
      <c r="I185" s="63"/>
      <c r="J185" s="63"/>
      <c r="K185" s="63"/>
      <c r="L185" s="75">
        <f t="shared" si="313"/>
        <v>21250</v>
      </c>
      <c r="N185" s="63">
        <f>(11*2500)+1200+3000+5500+8000</f>
        <v>45200</v>
      </c>
      <c r="O185" s="63"/>
      <c r="P185" s="63"/>
      <c r="Q185" s="63"/>
      <c r="R185" s="75">
        <f t="shared" si="314"/>
        <v>45200</v>
      </c>
      <c r="T185" s="63">
        <f>((11*1050)+1200+3500)*1.03*1.02*1.02*1.01</f>
        <v>17587.83195</v>
      </c>
      <c r="U185" s="63"/>
      <c r="V185" s="63"/>
      <c r="W185" s="63"/>
      <c r="X185" s="75">
        <f t="shared" si="315"/>
        <v>17587.83195</v>
      </c>
      <c r="Y185" s="194"/>
      <c r="Z185" s="63">
        <f>((11*1050)+1200+3500)*1.03</f>
        <v>16737.5</v>
      </c>
      <c r="AA185" s="63"/>
      <c r="AB185" s="63"/>
      <c r="AC185" s="63"/>
      <c r="AD185" s="75">
        <f t="shared" si="316"/>
        <v>16737.5</v>
      </c>
      <c r="AE185" s="194"/>
      <c r="AF185" s="63">
        <f>((9*1050)+1200+2500+3500)*1.03*1.01*1.01</f>
        <v>17494.204949999999</v>
      </c>
      <c r="AG185" s="63"/>
      <c r="AH185" s="63"/>
      <c r="AI185" s="63"/>
      <c r="AJ185" s="75">
        <f t="shared" si="317"/>
        <v>17494.204949999999</v>
      </c>
      <c r="AL185" s="61"/>
      <c r="AM185" s="61"/>
      <c r="AN185" s="61"/>
      <c r="AO185" s="61"/>
      <c r="AP185" s="75">
        <f t="shared" si="318"/>
        <v>0</v>
      </c>
      <c r="AR185" s="60">
        <f t="shared" si="319"/>
        <v>138519.53690000001</v>
      </c>
      <c r="AS185" s="60">
        <f t="shared" si="311"/>
        <v>0</v>
      </c>
      <c r="AT185" s="60">
        <f t="shared" si="311"/>
        <v>0</v>
      </c>
      <c r="AU185" s="60">
        <f t="shared" si="311"/>
        <v>0</v>
      </c>
      <c r="AV185" s="75">
        <f t="shared" si="320"/>
        <v>138519.53690000001</v>
      </c>
    </row>
    <row r="186" spans="1:48" x14ac:dyDescent="0.25">
      <c r="A186" s="32" t="s">
        <v>135</v>
      </c>
      <c r="B186" s="63"/>
      <c r="C186" s="63"/>
      <c r="D186" s="63"/>
      <c r="E186" s="63"/>
      <c r="F186" s="75">
        <f t="shared" si="312"/>
        <v>0</v>
      </c>
      <c r="H186" s="63"/>
      <c r="I186" s="63"/>
      <c r="J186" s="63"/>
      <c r="K186" s="63"/>
      <c r="L186" s="75">
        <f t="shared" si="313"/>
        <v>0</v>
      </c>
      <c r="N186" s="63">
        <v>77500</v>
      </c>
      <c r="O186" s="63"/>
      <c r="P186" s="63"/>
      <c r="Q186" s="63"/>
      <c r="R186" s="75">
        <f t="shared" si="314"/>
        <v>77500</v>
      </c>
      <c r="T186" s="63"/>
      <c r="U186" s="63"/>
      <c r="V186" s="63"/>
      <c r="W186" s="63"/>
      <c r="X186" s="75">
        <f t="shared" si="315"/>
        <v>0</v>
      </c>
      <c r="Y186" s="194"/>
      <c r="Z186" s="63"/>
      <c r="AA186" s="63"/>
      <c r="AB186" s="63"/>
      <c r="AC186" s="63"/>
      <c r="AD186" s="75">
        <f t="shared" si="316"/>
        <v>0</v>
      </c>
      <c r="AE186" s="194"/>
      <c r="AF186" s="63"/>
      <c r="AG186" s="63"/>
      <c r="AH186" s="63"/>
      <c r="AI186" s="63"/>
      <c r="AJ186" s="75">
        <f t="shared" si="317"/>
        <v>0</v>
      </c>
      <c r="AL186" s="61"/>
      <c r="AM186" s="61"/>
      <c r="AN186" s="61"/>
      <c r="AO186" s="61"/>
      <c r="AP186" s="75">
        <f t="shared" si="318"/>
        <v>0</v>
      </c>
      <c r="AR186" s="60">
        <f t="shared" si="319"/>
        <v>77500</v>
      </c>
      <c r="AS186" s="60">
        <f t="shared" si="311"/>
        <v>0</v>
      </c>
      <c r="AT186" s="60">
        <f t="shared" si="311"/>
        <v>0</v>
      </c>
      <c r="AU186" s="60">
        <f t="shared" si="311"/>
        <v>0</v>
      </c>
      <c r="AV186" s="75">
        <f t="shared" si="320"/>
        <v>77500</v>
      </c>
    </row>
    <row r="187" spans="1:48" x14ac:dyDescent="0.25">
      <c r="A187" s="32" t="s">
        <v>136</v>
      </c>
      <c r="B187" s="63"/>
      <c r="C187" s="63"/>
      <c r="D187" s="63"/>
      <c r="E187" s="63"/>
      <c r="F187" s="75">
        <f t="shared" si="312"/>
        <v>0</v>
      </c>
      <c r="H187" s="63"/>
      <c r="I187" s="63"/>
      <c r="J187" s="63"/>
      <c r="K187" s="63"/>
      <c r="L187" s="75">
        <f t="shared" si="313"/>
        <v>0</v>
      </c>
      <c r="N187" s="63"/>
      <c r="O187" s="63"/>
      <c r="P187" s="63"/>
      <c r="Q187" s="63"/>
      <c r="R187" s="75">
        <f t="shared" si="314"/>
        <v>0</v>
      </c>
      <c r="T187" s="63"/>
      <c r="U187" s="63"/>
      <c r="V187" s="63"/>
      <c r="W187" s="63"/>
      <c r="X187" s="75">
        <f t="shared" si="315"/>
        <v>0</v>
      </c>
      <c r="Y187" s="194"/>
      <c r="Z187" s="63"/>
      <c r="AA187" s="63"/>
      <c r="AB187" s="63"/>
      <c r="AC187" s="63"/>
      <c r="AD187" s="75">
        <f t="shared" si="316"/>
        <v>0</v>
      </c>
      <c r="AE187" s="194"/>
      <c r="AF187" s="63"/>
      <c r="AG187" s="63"/>
      <c r="AH187" s="63"/>
      <c r="AI187" s="63"/>
      <c r="AJ187" s="75">
        <f t="shared" si="317"/>
        <v>0</v>
      </c>
      <c r="AL187" s="61"/>
      <c r="AM187" s="61"/>
      <c r="AN187" s="61"/>
      <c r="AO187" s="61"/>
      <c r="AP187" s="75">
        <f t="shared" si="318"/>
        <v>0</v>
      </c>
      <c r="AR187" s="60">
        <f t="shared" si="319"/>
        <v>0</v>
      </c>
      <c r="AS187" s="60">
        <f t="shared" si="311"/>
        <v>0</v>
      </c>
      <c r="AT187" s="60">
        <f t="shared" si="311"/>
        <v>0</v>
      </c>
      <c r="AU187" s="60">
        <f t="shared" si="311"/>
        <v>0</v>
      </c>
      <c r="AV187" s="75">
        <f t="shared" si="320"/>
        <v>0</v>
      </c>
    </row>
    <row r="188" spans="1:48" x14ac:dyDescent="0.25">
      <c r="A188" s="32" t="s">
        <v>137</v>
      </c>
      <c r="B188" s="63">
        <v>0</v>
      </c>
      <c r="C188" s="63"/>
      <c r="D188" s="63"/>
      <c r="E188" s="63"/>
      <c r="F188" s="75">
        <f t="shared" si="312"/>
        <v>0</v>
      </c>
      <c r="H188" s="63">
        <v>0</v>
      </c>
      <c r="I188" s="63"/>
      <c r="J188" s="63"/>
      <c r="K188" s="63"/>
      <c r="L188" s="75">
        <f t="shared" si="313"/>
        <v>0</v>
      </c>
      <c r="N188" s="63">
        <f>86100+65000</f>
        <v>151100</v>
      </c>
      <c r="O188" s="63"/>
      <c r="P188" s="63"/>
      <c r="Q188" s="63"/>
      <c r="R188" s="75">
        <f t="shared" si="314"/>
        <v>151100</v>
      </c>
      <c r="T188" s="63">
        <v>35000</v>
      </c>
      <c r="U188" s="63"/>
      <c r="V188" s="63"/>
      <c r="W188" s="63"/>
      <c r="X188" s="75">
        <f t="shared" si="315"/>
        <v>35000</v>
      </c>
      <c r="Y188" s="194"/>
      <c r="Z188" s="218">
        <v>329000</v>
      </c>
      <c r="AA188" s="63"/>
      <c r="AB188" s="63"/>
      <c r="AC188" s="63"/>
      <c r="AD188" s="75">
        <f t="shared" si="316"/>
        <v>329000</v>
      </c>
      <c r="AE188" s="194"/>
      <c r="AF188" s="63">
        <v>256000</v>
      </c>
      <c r="AG188" s="63"/>
      <c r="AH188" s="63"/>
      <c r="AI188" s="63"/>
      <c r="AJ188" s="75">
        <f t="shared" si="317"/>
        <v>256000</v>
      </c>
      <c r="AL188" s="61"/>
      <c r="AM188" s="61"/>
      <c r="AN188" s="61"/>
      <c r="AO188" s="61"/>
      <c r="AP188" s="75">
        <f t="shared" si="318"/>
        <v>0</v>
      </c>
      <c r="AR188" s="60">
        <f t="shared" si="319"/>
        <v>771100</v>
      </c>
      <c r="AS188" s="60">
        <f t="shared" si="311"/>
        <v>0</v>
      </c>
      <c r="AT188" s="60">
        <f t="shared" si="311"/>
        <v>0</v>
      </c>
      <c r="AU188" s="60">
        <f t="shared" si="311"/>
        <v>0</v>
      </c>
      <c r="AV188" s="75">
        <f t="shared" si="320"/>
        <v>771100</v>
      </c>
    </row>
    <row r="189" spans="1:48" x14ac:dyDescent="0.25">
      <c r="A189" s="32" t="s">
        <v>138</v>
      </c>
      <c r="B189" s="63"/>
      <c r="C189" s="63"/>
      <c r="D189" s="63"/>
      <c r="E189" s="63"/>
      <c r="F189" s="75">
        <f t="shared" si="312"/>
        <v>0</v>
      </c>
      <c r="H189" s="63"/>
      <c r="I189" s="63"/>
      <c r="J189" s="63"/>
      <c r="K189" s="63"/>
      <c r="L189" s="75">
        <f t="shared" si="313"/>
        <v>0</v>
      </c>
      <c r="N189" s="63"/>
      <c r="O189" s="63"/>
      <c r="P189" s="63"/>
      <c r="Q189" s="63"/>
      <c r="R189" s="75">
        <f t="shared" si="314"/>
        <v>0</v>
      </c>
      <c r="T189" s="63"/>
      <c r="U189" s="63"/>
      <c r="V189" s="63"/>
      <c r="W189" s="63"/>
      <c r="X189" s="75">
        <f t="shared" si="315"/>
        <v>0</v>
      </c>
      <c r="Y189" s="194"/>
      <c r="Z189" s="63"/>
      <c r="AA189" s="63"/>
      <c r="AB189" s="63"/>
      <c r="AC189" s="63"/>
      <c r="AD189" s="75">
        <f t="shared" si="316"/>
        <v>0</v>
      </c>
      <c r="AE189" s="194"/>
      <c r="AF189" s="63"/>
      <c r="AG189" s="63"/>
      <c r="AH189" s="63"/>
      <c r="AI189" s="63"/>
      <c r="AJ189" s="75">
        <f t="shared" si="317"/>
        <v>0</v>
      </c>
      <c r="AL189" s="61"/>
      <c r="AM189" s="61"/>
      <c r="AN189" s="61"/>
      <c r="AO189" s="61"/>
      <c r="AP189" s="75">
        <f t="shared" si="318"/>
        <v>0</v>
      </c>
      <c r="AR189" s="60">
        <f t="shared" si="319"/>
        <v>0</v>
      </c>
      <c r="AS189" s="60">
        <f t="shared" si="311"/>
        <v>0</v>
      </c>
      <c r="AT189" s="60">
        <f t="shared" si="311"/>
        <v>0</v>
      </c>
      <c r="AU189" s="60">
        <f t="shared" si="311"/>
        <v>0</v>
      </c>
      <c r="AV189" s="75">
        <f t="shared" si="320"/>
        <v>0</v>
      </c>
    </row>
    <row r="190" spans="1:48" x14ac:dyDescent="0.25">
      <c r="A190" s="32" t="s">
        <v>139</v>
      </c>
      <c r="B190" s="63"/>
      <c r="C190" s="63"/>
      <c r="D190" s="63"/>
      <c r="E190" s="63"/>
      <c r="F190" s="75">
        <f t="shared" si="312"/>
        <v>0</v>
      </c>
      <c r="H190" s="63"/>
      <c r="I190" s="63"/>
      <c r="J190" s="63"/>
      <c r="K190" s="63"/>
      <c r="L190" s="75">
        <f t="shared" si="313"/>
        <v>0</v>
      </c>
      <c r="N190" s="63"/>
      <c r="O190" s="63"/>
      <c r="P190" s="63"/>
      <c r="Q190" s="63"/>
      <c r="R190" s="75">
        <f t="shared" si="314"/>
        <v>0</v>
      </c>
      <c r="T190" s="63"/>
      <c r="U190" s="63"/>
      <c r="V190" s="63"/>
      <c r="W190" s="63"/>
      <c r="X190" s="75">
        <f t="shared" si="315"/>
        <v>0</v>
      </c>
      <c r="Y190" s="194"/>
      <c r="Z190" s="63"/>
      <c r="AA190" s="63"/>
      <c r="AB190" s="63"/>
      <c r="AC190" s="63"/>
      <c r="AD190" s="75">
        <f t="shared" si="316"/>
        <v>0</v>
      </c>
      <c r="AE190" s="194"/>
      <c r="AF190" s="63"/>
      <c r="AG190" s="63"/>
      <c r="AH190" s="63"/>
      <c r="AI190" s="63"/>
      <c r="AJ190" s="75">
        <f t="shared" si="317"/>
        <v>0</v>
      </c>
      <c r="AL190" s="61"/>
      <c r="AM190" s="61"/>
      <c r="AN190" s="61"/>
      <c r="AO190" s="61"/>
      <c r="AP190" s="75">
        <f t="shared" si="318"/>
        <v>0</v>
      </c>
      <c r="AR190" s="60">
        <f t="shared" si="319"/>
        <v>0</v>
      </c>
      <c r="AS190" s="60">
        <f t="shared" si="319"/>
        <v>0</v>
      </c>
      <c r="AT190" s="60">
        <f t="shared" si="319"/>
        <v>0</v>
      </c>
      <c r="AU190" s="60">
        <f t="shared" si="319"/>
        <v>0</v>
      </c>
      <c r="AV190" s="75">
        <f t="shared" si="320"/>
        <v>0</v>
      </c>
    </row>
    <row r="191" spans="1:48" x14ac:dyDescent="0.25">
      <c r="A191" s="32" t="s">
        <v>140</v>
      </c>
      <c r="B191" s="63"/>
      <c r="C191" s="63"/>
      <c r="D191" s="63"/>
      <c r="E191" s="63"/>
      <c r="F191" s="75">
        <f t="shared" si="312"/>
        <v>0</v>
      </c>
      <c r="H191" s="63"/>
      <c r="I191" s="63"/>
      <c r="J191" s="63"/>
      <c r="K191" s="63"/>
      <c r="L191" s="75">
        <f t="shared" si="313"/>
        <v>0</v>
      </c>
      <c r="N191" s="63"/>
      <c r="O191" s="63"/>
      <c r="P191" s="63"/>
      <c r="Q191" s="63"/>
      <c r="R191" s="75">
        <f t="shared" si="314"/>
        <v>0</v>
      </c>
      <c r="T191" s="63"/>
      <c r="U191" s="63"/>
      <c r="V191" s="63"/>
      <c r="W191" s="63"/>
      <c r="X191" s="75">
        <f t="shared" si="315"/>
        <v>0</v>
      </c>
      <c r="Y191" s="194"/>
      <c r="Z191" s="63"/>
      <c r="AA191" s="63"/>
      <c r="AB191" s="63"/>
      <c r="AC191" s="63"/>
      <c r="AD191" s="75">
        <f t="shared" si="316"/>
        <v>0</v>
      </c>
      <c r="AE191" s="194"/>
      <c r="AF191" s="63"/>
      <c r="AG191" s="63"/>
      <c r="AH191" s="63"/>
      <c r="AI191" s="63"/>
      <c r="AJ191" s="75">
        <f t="shared" si="317"/>
        <v>0</v>
      </c>
      <c r="AL191" s="61"/>
      <c r="AM191" s="61"/>
      <c r="AN191" s="61"/>
      <c r="AO191" s="61"/>
      <c r="AP191" s="75">
        <f t="shared" si="318"/>
        <v>0</v>
      </c>
      <c r="AR191" s="60">
        <f t="shared" si="319"/>
        <v>0</v>
      </c>
      <c r="AS191" s="60">
        <f t="shared" si="319"/>
        <v>0</v>
      </c>
      <c r="AT191" s="60">
        <f t="shared" si="319"/>
        <v>0</v>
      </c>
      <c r="AU191" s="60">
        <f t="shared" si="319"/>
        <v>0</v>
      </c>
      <c r="AV191" s="75">
        <f t="shared" si="320"/>
        <v>0</v>
      </c>
    </row>
    <row r="192" spans="1:48" x14ac:dyDescent="0.25">
      <c r="A192" s="32" t="s">
        <v>141</v>
      </c>
      <c r="B192" s="63">
        <v>5000</v>
      </c>
      <c r="C192" s="63"/>
      <c r="D192" s="63"/>
      <c r="E192" s="63"/>
      <c r="F192" s="75">
        <f t="shared" si="312"/>
        <v>5000</v>
      </c>
      <c r="H192" s="63">
        <v>5000</v>
      </c>
      <c r="I192" s="63"/>
      <c r="J192" s="63"/>
      <c r="K192" s="63"/>
      <c r="L192" s="75">
        <f t="shared" si="313"/>
        <v>5000</v>
      </c>
      <c r="N192" s="61">
        <v>10000</v>
      </c>
      <c r="O192" s="63"/>
      <c r="P192" s="63"/>
      <c r="Q192" s="63"/>
      <c r="R192" s="75">
        <f t="shared" si="314"/>
        <v>10000</v>
      </c>
      <c r="T192" s="63">
        <v>2000</v>
      </c>
      <c r="U192" s="63"/>
      <c r="V192" s="63"/>
      <c r="W192" s="63"/>
      <c r="X192" s="75">
        <f t="shared" si="315"/>
        <v>2000</v>
      </c>
      <c r="Y192" s="194"/>
      <c r="Z192" s="63">
        <v>2000</v>
      </c>
      <c r="AA192" s="63"/>
      <c r="AB192" s="63"/>
      <c r="AC192" s="63"/>
      <c r="AD192" s="75">
        <f t="shared" si="316"/>
        <v>2000</v>
      </c>
      <c r="AE192" s="194"/>
      <c r="AF192" s="63">
        <v>2000</v>
      </c>
      <c r="AG192" s="63"/>
      <c r="AH192" s="63"/>
      <c r="AI192" s="63"/>
      <c r="AJ192" s="75">
        <f t="shared" si="317"/>
        <v>2000</v>
      </c>
      <c r="AL192" s="61"/>
      <c r="AM192" s="61"/>
      <c r="AN192" s="61"/>
      <c r="AO192" s="61">
        <v>10000</v>
      </c>
      <c r="AP192" s="75">
        <f t="shared" si="318"/>
        <v>10000</v>
      </c>
      <c r="AR192" s="60">
        <f t="shared" si="319"/>
        <v>26000</v>
      </c>
      <c r="AS192" s="60">
        <f t="shared" si="319"/>
        <v>0</v>
      </c>
      <c r="AT192" s="60">
        <f t="shared" si="319"/>
        <v>0</v>
      </c>
      <c r="AU192" s="60">
        <f t="shared" si="319"/>
        <v>10000</v>
      </c>
      <c r="AV192" s="75">
        <f t="shared" si="320"/>
        <v>36000</v>
      </c>
    </row>
    <row r="193" spans="1:49" x14ac:dyDescent="0.25">
      <c r="A193" s="33" t="s">
        <v>142</v>
      </c>
      <c r="B193" s="64">
        <f>B68*0.0125</f>
        <v>128178.75</v>
      </c>
      <c r="C193" s="64"/>
      <c r="D193" s="64"/>
      <c r="E193" s="64"/>
      <c r="F193" s="75">
        <f t="shared" si="312"/>
        <v>128178.75</v>
      </c>
      <c r="H193" s="64">
        <f>H68*0.0125</f>
        <v>128178.75</v>
      </c>
      <c r="I193" s="64"/>
      <c r="J193" s="64"/>
      <c r="K193" s="64"/>
      <c r="L193" s="75">
        <f t="shared" si="313"/>
        <v>128178.75</v>
      </c>
      <c r="N193" s="64">
        <f>N68*0.0125</f>
        <v>314212.5</v>
      </c>
      <c r="O193" s="64"/>
      <c r="P193" s="64"/>
      <c r="Q193" s="64"/>
      <c r="R193" s="75">
        <f t="shared" si="314"/>
        <v>314212.5</v>
      </c>
      <c r="T193" s="64">
        <f>T68*0.025</f>
        <v>134413.125</v>
      </c>
      <c r="U193" s="64"/>
      <c r="V193" s="64"/>
      <c r="W193" s="64"/>
      <c r="X193" s="75">
        <f t="shared" si="315"/>
        <v>134413.125</v>
      </c>
      <c r="Y193" s="194"/>
      <c r="Z193" s="64">
        <f>Z68*0</f>
        <v>0</v>
      </c>
      <c r="AA193" s="64"/>
      <c r="AB193" s="64"/>
      <c r="AC193" s="64"/>
      <c r="AD193" s="75">
        <f t="shared" si="316"/>
        <v>0</v>
      </c>
      <c r="AE193" s="194"/>
      <c r="AF193" s="64">
        <f>AF68*0.025</f>
        <v>260098.125</v>
      </c>
      <c r="AG193" s="64"/>
      <c r="AH193" s="64"/>
      <c r="AI193" s="64"/>
      <c r="AJ193" s="75">
        <f t="shared" si="317"/>
        <v>260098.125</v>
      </c>
      <c r="AL193" s="91"/>
      <c r="AM193" s="91"/>
      <c r="AN193" s="91"/>
      <c r="AO193" s="91"/>
      <c r="AP193" s="75">
        <f t="shared" si="318"/>
        <v>0</v>
      </c>
      <c r="AR193" s="60">
        <f t="shared" si="319"/>
        <v>965081.25</v>
      </c>
      <c r="AS193" s="60">
        <f t="shared" si="319"/>
        <v>0</v>
      </c>
      <c r="AT193" s="60">
        <f t="shared" si="319"/>
        <v>0</v>
      </c>
      <c r="AU193" s="60">
        <f t="shared" si="319"/>
        <v>0</v>
      </c>
      <c r="AV193" s="75">
        <f t="shared" si="320"/>
        <v>965081.25</v>
      </c>
      <c r="AW193" s="94">
        <f>AV193/AR68</f>
        <v>1.3249794576828266E-2</v>
      </c>
    </row>
    <row r="194" spans="1:49" x14ac:dyDescent="0.25">
      <c r="A194" s="34"/>
      <c r="B194" s="76">
        <f>SUM(B174:B193)</f>
        <v>489745.84923628811</v>
      </c>
      <c r="C194" s="76">
        <f t="shared" ref="C194:F194" si="321">SUM(C174:C193)</f>
        <v>0</v>
      </c>
      <c r="D194" s="76">
        <f t="shared" si="321"/>
        <v>1057239</v>
      </c>
      <c r="E194" s="76">
        <f t="shared" si="321"/>
        <v>0</v>
      </c>
      <c r="F194" s="76">
        <f t="shared" si="321"/>
        <v>1546984.8492362881</v>
      </c>
      <c r="H194" s="76">
        <f>SUM(H174:H193)</f>
        <v>490652.2243433441</v>
      </c>
      <c r="I194" s="76">
        <f t="shared" ref="I194:L194" si="322">SUM(I174:I193)</f>
        <v>0</v>
      </c>
      <c r="J194" s="76">
        <f t="shared" si="322"/>
        <v>869130</v>
      </c>
      <c r="K194" s="76">
        <f t="shared" si="322"/>
        <v>0</v>
      </c>
      <c r="L194" s="76">
        <f t="shared" si="322"/>
        <v>1359782.2243433441</v>
      </c>
      <c r="N194" s="76">
        <f>SUM(N174:N193)</f>
        <v>1400979.0861059204</v>
      </c>
      <c r="O194" s="76">
        <f t="shared" ref="O194:R194" si="323">SUM(O174:O193)</f>
        <v>0</v>
      </c>
      <c r="P194" s="76">
        <f t="shared" si="323"/>
        <v>1348380</v>
      </c>
      <c r="Q194" s="76">
        <f t="shared" si="323"/>
        <v>0</v>
      </c>
      <c r="R194" s="76">
        <f t="shared" si="323"/>
        <v>2749359.0861059204</v>
      </c>
      <c r="T194" s="76">
        <f>SUM(T174:T193)</f>
        <v>322413.24423564144</v>
      </c>
      <c r="U194" s="76">
        <f t="shared" ref="U194:X194" si="324">SUM(U174:U193)</f>
        <v>0</v>
      </c>
      <c r="V194" s="76">
        <f t="shared" si="324"/>
        <v>397980</v>
      </c>
      <c r="W194" s="76">
        <f t="shared" si="324"/>
        <v>0</v>
      </c>
      <c r="X194" s="76">
        <f t="shared" si="324"/>
        <v>720393.24423564144</v>
      </c>
      <c r="Y194" s="199"/>
      <c r="Z194" s="76">
        <f>SUM(Z174:Z193)</f>
        <v>634210.166482336</v>
      </c>
      <c r="AA194" s="76">
        <f t="shared" ref="AA194:AD194" si="325">SUM(AA174:AA193)</f>
        <v>0</v>
      </c>
      <c r="AB194" s="76">
        <f t="shared" si="325"/>
        <v>989279.99999999988</v>
      </c>
      <c r="AC194" s="76">
        <f t="shared" si="325"/>
        <v>0</v>
      </c>
      <c r="AD194" s="76">
        <f t="shared" si="325"/>
        <v>1623490.1664823359</v>
      </c>
      <c r="AE194" s="199"/>
      <c r="AF194" s="76">
        <f>SUM(AF174:AF193)</f>
        <v>799636.98074460006</v>
      </c>
      <c r="AG194" s="76">
        <f t="shared" ref="AG194:AJ194" si="326">SUM(AG174:AG193)</f>
        <v>0</v>
      </c>
      <c r="AH194" s="76">
        <f t="shared" si="326"/>
        <v>760500</v>
      </c>
      <c r="AI194" s="76">
        <f t="shared" si="326"/>
        <v>0</v>
      </c>
      <c r="AJ194" s="76">
        <f t="shared" si="326"/>
        <v>1560136.9807446001</v>
      </c>
      <c r="AL194" s="76">
        <f>SUM(AL174:AL193)</f>
        <v>0</v>
      </c>
      <c r="AM194" s="76">
        <f t="shared" ref="AM194:AP194" si="327">SUM(AM174:AM193)</f>
        <v>0</v>
      </c>
      <c r="AN194" s="76">
        <f t="shared" si="327"/>
        <v>0</v>
      </c>
      <c r="AO194" s="76">
        <f t="shared" si="327"/>
        <v>10000</v>
      </c>
      <c r="AP194" s="76">
        <f t="shared" si="327"/>
        <v>10000</v>
      </c>
      <c r="AR194" s="76">
        <f>SUM(AR174:AR193)</f>
        <v>4137637.5511481301</v>
      </c>
      <c r="AS194" s="76">
        <f t="shared" ref="AS194:AV194" si="328">SUM(AS174:AS193)</f>
        <v>0</v>
      </c>
      <c r="AT194" s="76">
        <f t="shared" si="328"/>
        <v>5422509</v>
      </c>
      <c r="AU194" s="76">
        <f t="shared" si="328"/>
        <v>10000</v>
      </c>
      <c r="AV194" s="76">
        <f t="shared" si="328"/>
        <v>9570146.5511481296</v>
      </c>
    </row>
    <row r="195" spans="1:49" x14ac:dyDescent="0.25">
      <c r="B195" s="77"/>
      <c r="C195" s="77"/>
      <c r="D195" s="77"/>
      <c r="E195" s="77"/>
      <c r="F195" s="77"/>
      <c r="H195" s="77"/>
      <c r="I195" s="77"/>
      <c r="J195" s="77"/>
      <c r="K195" s="77"/>
      <c r="L195" s="77"/>
      <c r="N195" s="77"/>
      <c r="O195" s="77"/>
      <c r="P195" s="77"/>
      <c r="Q195" s="77"/>
      <c r="R195" s="77"/>
      <c r="T195" s="77"/>
      <c r="U195" s="77"/>
      <c r="V195" s="77"/>
      <c r="W195" s="77"/>
      <c r="X195" s="77"/>
      <c r="Y195" s="79"/>
      <c r="Z195" s="77"/>
      <c r="AA195" s="77"/>
      <c r="AB195" s="77"/>
      <c r="AC195" s="77"/>
      <c r="AD195" s="77"/>
      <c r="AE195" s="79"/>
      <c r="AF195" s="77"/>
      <c r="AG195" s="77"/>
      <c r="AH195" s="77"/>
      <c r="AI195" s="77"/>
      <c r="AJ195" s="77"/>
      <c r="AL195" s="77"/>
      <c r="AM195" s="77"/>
      <c r="AN195" s="77"/>
      <c r="AO195" s="77"/>
      <c r="AP195" s="77"/>
      <c r="AR195" s="77"/>
      <c r="AS195" s="77"/>
      <c r="AT195" s="77"/>
      <c r="AU195" s="77"/>
      <c r="AV195" s="77"/>
    </row>
    <row r="196" spans="1:49" x14ac:dyDescent="0.25">
      <c r="A196" s="28"/>
      <c r="B196" s="78" t="s">
        <v>157</v>
      </c>
      <c r="C196" s="78" t="s">
        <v>158</v>
      </c>
      <c r="D196" s="78" t="s">
        <v>159</v>
      </c>
      <c r="E196" s="78" t="str">
        <f>E173</f>
        <v>Other</v>
      </c>
      <c r="F196" s="78" t="str">
        <f>F173</f>
        <v>FY30- Mtn</v>
      </c>
      <c r="H196" s="78" t="s">
        <v>157</v>
      </c>
      <c r="I196" s="78" t="s">
        <v>158</v>
      </c>
      <c r="J196" s="78" t="s">
        <v>159</v>
      </c>
      <c r="K196" s="78" t="str">
        <f>K173</f>
        <v>Other</v>
      </c>
      <c r="L196" s="78" t="str">
        <f>L173</f>
        <v>FY30- Bon</v>
      </c>
      <c r="N196" s="78" t="s">
        <v>157</v>
      </c>
      <c r="O196" s="78" t="s">
        <v>158</v>
      </c>
      <c r="P196" s="78" t="s">
        <v>159</v>
      </c>
      <c r="Q196" s="78" t="str">
        <f>Q173</f>
        <v>Other</v>
      </c>
      <c r="R196" s="78" t="str">
        <f>R173</f>
        <v>FY30- East</v>
      </c>
      <c r="T196" s="78" t="s">
        <v>157</v>
      </c>
      <c r="U196" s="78" t="s">
        <v>158</v>
      </c>
      <c r="V196" s="78" t="s">
        <v>159</v>
      </c>
      <c r="W196" s="78" t="str">
        <f>W173</f>
        <v>Other</v>
      </c>
      <c r="X196" s="78" t="str">
        <f>X173</f>
        <v>FY30- Cactus</v>
      </c>
      <c r="Y196" s="201"/>
      <c r="Z196" s="78" t="s">
        <v>157</v>
      </c>
      <c r="AA196" s="78" t="s">
        <v>158</v>
      </c>
      <c r="AB196" s="78" t="s">
        <v>159</v>
      </c>
      <c r="AC196" s="78" t="str">
        <f>AC173</f>
        <v>Other</v>
      </c>
      <c r="AD196" s="78" t="str">
        <f>AD173</f>
        <v>FY30- Sahara</v>
      </c>
      <c r="AE196" s="201"/>
      <c r="AF196" s="78" t="s">
        <v>157</v>
      </c>
      <c r="AG196" s="78" t="s">
        <v>158</v>
      </c>
      <c r="AH196" s="78" t="s">
        <v>159</v>
      </c>
      <c r="AI196" s="78" t="str">
        <f>AI173</f>
        <v>Other</v>
      </c>
      <c r="AJ196" s="78" t="str">
        <f>AJ173</f>
        <v>FY30- VV</v>
      </c>
      <c r="AL196" s="78" t="s">
        <v>157</v>
      </c>
      <c r="AM196" s="78" t="s">
        <v>158</v>
      </c>
      <c r="AN196" s="78" t="s">
        <v>159</v>
      </c>
      <c r="AO196" s="78" t="str">
        <f>AO173</f>
        <v>Grant</v>
      </c>
      <c r="AP196" s="78" t="str">
        <f>AP173</f>
        <v>FY30 - Central</v>
      </c>
      <c r="AR196" s="78" t="s">
        <v>157</v>
      </c>
      <c r="AS196" s="78" t="s">
        <v>158</v>
      </c>
      <c r="AT196" s="78" t="s">
        <v>159</v>
      </c>
      <c r="AU196" s="78" t="str">
        <f>AU173</f>
        <v>Other</v>
      </c>
      <c r="AV196" s="78" t="str">
        <f>AV173</f>
        <v>FY29- Sys</v>
      </c>
    </row>
    <row r="197" spans="1:49" x14ac:dyDescent="0.25">
      <c r="A197" s="35" t="s">
        <v>143</v>
      </c>
      <c r="B197" s="60">
        <f>95000*1.02*1.02*1.02*1.02</f>
        <v>102831.0552</v>
      </c>
      <c r="C197" s="75"/>
      <c r="D197" s="75"/>
      <c r="E197" s="75"/>
      <c r="F197" s="75">
        <f>SUM(B197:E197)</f>
        <v>102831.0552</v>
      </c>
      <c r="H197" s="60">
        <f>95000*1.02*1.02*1.02*1.02</f>
        <v>102831.0552</v>
      </c>
      <c r="I197" s="75"/>
      <c r="J197" s="75"/>
      <c r="K197" s="75"/>
      <c r="L197" s="75">
        <f>SUM(H197:K197)</f>
        <v>102831.0552</v>
      </c>
      <c r="N197" s="60">
        <f>285000*1.02*1.02*1.02*1.02</f>
        <v>308493.16560000001</v>
      </c>
      <c r="O197" s="75"/>
      <c r="P197" s="75"/>
      <c r="Q197" s="75"/>
      <c r="R197" s="75">
        <f>SUM(N197:Q197)</f>
        <v>308493.16560000001</v>
      </c>
      <c r="T197" s="60">
        <f>65000*1.03*1.03*1.02*1.02</f>
        <v>71744.4234</v>
      </c>
      <c r="U197" s="75"/>
      <c r="V197" s="75"/>
      <c r="W197" s="75"/>
      <c r="X197" s="75">
        <f>SUM(T197:W197)</f>
        <v>71744.4234</v>
      </c>
      <c r="Y197" s="194"/>
      <c r="Z197" s="60">
        <v>120000</v>
      </c>
      <c r="AA197" s="75"/>
      <c r="AB197" s="75"/>
      <c r="AC197" s="75"/>
      <c r="AD197" s="75">
        <f>SUM(Z197:AC197)</f>
        <v>120000</v>
      </c>
      <c r="AE197" s="194"/>
      <c r="AF197" s="60">
        <f>107500*1.03*1.02*1.03</f>
        <v>116327.685</v>
      </c>
      <c r="AG197" s="75"/>
      <c r="AH197" s="75"/>
      <c r="AI197" s="75"/>
      <c r="AJ197" s="75">
        <f>SUM(AF197:AI197)</f>
        <v>116327.685</v>
      </c>
      <c r="AL197" s="60"/>
      <c r="AM197" s="75"/>
      <c r="AN197" s="75"/>
      <c r="AO197" s="75"/>
      <c r="AP197" s="75">
        <f>SUM(AL197:AO197)</f>
        <v>0</v>
      </c>
      <c r="AR197" s="60">
        <f>B197+H197+N197+T197+AL197+AF197+Z197</f>
        <v>822227.3844000001</v>
      </c>
      <c r="AS197" s="60">
        <f t="shared" ref="AS197:AU206" si="329">C197+I197+O197+U197+AM197+AG197+AA197</f>
        <v>0</v>
      </c>
      <c r="AT197" s="60">
        <f t="shared" si="329"/>
        <v>0</v>
      </c>
      <c r="AU197" s="60">
        <f t="shared" si="329"/>
        <v>0</v>
      </c>
      <c r="AV197" s="75">
        <f>SUM(AR197:AU197)</f>
        <v>822227.3844000001</v>
      </c>
    </row>
    <row r="198" spans="1:49" x14ac:dyDescent="0.25">
      <c r="A198" s="32" t="s">
        <v>144</v>
      </c>
      <c r="B198" s="60">
        <v>0</v>
      </c>
      <c r="C198" s="63"/>
      <c r="D198" s="63"/>
      <c r="E198" s="63"/>
      <c r="F198" s="75">
        <f t="shared" ref="F198:F206" si="330">SUM(B198:E198)</f>
        <v>0</v>
      </c>
      <c r="H198" s="60">
        <v>0</v>
      </c>
      <c r="I198" s="63"/>
      <c r="J198" s="63"/>
      <c r="K198" s="63"/>
      <c r="L198" s="75">
        <f t="shared" ref="L198:L206" si="331">SUM(H198:K198)</f>
        <v>0</v>
      </c>
      <c r="N198" s="60">
        <f>16000*1.02*1.02*1.02*1.02</f>
        <v>17318.914560000001</v>
      </c>
      <c r="O198" s="63"/>
      <c r="P198" s="63"/>
      <c r="Q198" s="63"/>
      <c r="R198" s="75">
        <f t="shared" ref="R198:R206" si="332">SUM(N198:Q198)</f>
        <v>17318.914560000001</v>
      </c>
      <c r="T198" s="60"/>
      <c r="U198" s="63"/>
      <c r="V198" s="63"/>
      <c r="W198" s="63"/>
      <c r="X198" s="75">
        <f t="shared" ref="X198:X206" si="333">SUM(T198:W198)</f>
        <v>0</v>
      </c>
      <c r="Y198" s="194"/>
      <c r="Z198" s="60">
        <v>0</v>
      </c>
      <c r="AA198" s="63"/>
      <c r="AB198" s="63"/>
      <c r="AC198" s="63"/>
      <c r="AD198" s="75">
        <f t="shared" ref="AD198:AD206" si="334">SUM(Z198:AC198)</f>
        <v>0</v>
      </c>
      <c r="AE198" s="194"/>
      <c r="AF198" s="60">
        <v>0</v>
      </c>
      <c r="AG198" s="63"/>
      <c r="AH198" s="63"/>
      <c r="AI198" s="63"/>
      <c r="AJ198" s="75">
        <f t="shared" ref="AJ198:AJ206" si="335">SUM(AF198:AI198)</f>
        <v>0</v>
      </c>
      <c r="AL198" s="60"/>
      <c r="AM198" s="63"/>
      <c r="AN198" s="63"/>
      <c r="AO198" s="63"/>
      <c r="AP198" s="75">
        <f t="shared" ref="AP198:AP206" si="336">SUM(AL198:AO198)</f>
        <v>0</v>
      </c>
      <c r="AR198" s="60">
        <f t="shared" ref="AR198:AR206" si="337">B198+H198+N198+T198+AL198+AF198+Z198</f>
        <v>17318.914560000001</v>
      </c>
      <c r="AS198" s="60">
        <f t="shared" si="329"/>
        <v>0</v>
      </c>
      <c r="AT198" s="60">
        <f t="shared" si="329"/>
        <v>0</v>
      </c>
      <c r="AU198" s="60">
        <f t="shared" si="329"/>
        <v>0</v>
      </c>
      <c r="AV198" s="75">
        <f t="shared" ref="AV198:AV206" si="338">SUM(AR198:AU198)</f>
        <v>17318.914560000001</v>
      </c>
    </row>
    <row r="199" spans="1:49" x14ac:dyDescent="0.25">
      <c r="A199" s="32" t="s">
        <v>145</v>
      </c>
      <c r="B199" s="60">
        <f>57500*1.02*1.02*1.02*1.02</f>
        <v>62239.849199999997</v>
      </c>
      <c r="C199" s="63"/>
      <c r="D199" s="63"/>
      <c r="E199" s="63"/>
      <c r="F199" s="75">
        <f t="shared" si="330"/>
        <v>62239.849199999997</v>
      </c>
      <c r="H199" s="60">
        <f>57000*1.02*1.02*1.02*1.02</f>
        <v>61698.633120000006</v>
      </c>
      <c r="I199" s="63"/>
      <c r="J199" s="63"/>
      <c r="K199" s="63"/>
      <c r="L199" s="75">
        <f t="shared" si="331"/>
        <v>61698.633120000006</v>
      </c>
      <c r="N199" s="60">
        <f>130000*1.02*1.02*1.02*1.02</f>
        <v>140716.1808</v>
      </c>
      <c r="O199" s="63"/>
      <c r="P199" s="63"/>
      <c r="Q199" s="63"/>
      <c r="R199" s="75">
        <f t="shared" si="332"/>
        <v>140716.1808</v>
      </c>
      <c r="T199" s="60">
        <f>16000*1.03*1.03*1.02*1.02</f>
        <v>17660.165760000004</v>
      </c>
      <c r="U199" s="63"/>
      <c r="V199" s="63"/>
      <c r="W199" s="63"/>
      <c r="X199" s="75">
        <f t="shared" si="333"/>
        <v>17660.165760000004</v>
      </c>
      <c r="Y199" s="194"/>
      <c r="Z199" s="60">
        <v>75000</v>
      </c>
      <c r="AA199" s="63"/>
      <c r="AB199" s="63"/>
      <c r="AC199" s="63"/>
      <c r="AD199" s="75">
        <f t="shared" si="334"/>
        <v>75000</v>
      </c>
      <c r="AE199" s="194"/>
      <c r="AF199" s="60">
        <f>55000*1.03*1.02*1.02</f>
        <v>58938.66</v>
      </c>
      <c r="AG199" s="63"/>
      <c r="AH199" s="63"/>
      <c r="AI199" s="63"/>
      <c r="AJ199" s="75">
        <f t="shared" si="335"/>
        <v>58938.66</v>
      </c>
      <c r="AL199" s="60"/>
      <c r="AM199" s="63"/>
      <c r="AN199" s="63"/>
      <c r="AO199" s="63"/>
      <c r="AP199" s="75">
        <f t="shared" si="336"/>
        <v>0</v>
      </c>
      <c r="AR199" s="60">
        <f>B199+H199+N199+T199+AL199+AF199+Z199</f>
        <v>416253.48888000008</v>
      </c>
      <c r="AS199" s="60">
        <f t="shared" si="329"/>
        <v>0</v>
      </c>
      <c r="AT199" s="60">
        <f t="shared" si="329"/>
        <v>0</v>
      </c>
      <c r="AU199" s="60">
        <f t="shared" si="329"/>
        <v>0</v>
      </c>
      <c r="AV199" s="75">
        <f t="shared" si="338"/>
        <v>416253.48888000008</v>
      </c>
    </row>
    <row r="200" spans="1:49" x14ac:dyDescent="0.25">
      <c r="A200" s="32" t="s">
        <v>146</v>
      </c>
      <c r="B200" s="60">
        <f>37000*1.02*1.02*1.02*1.02</f>
        <v>40049.989920000007</v>
      </c>
      <c r="C200" s="63"/>
      <c r="D200" s="63"/>
      <c r="E200" s="63"/>
      <c r="F200" s="75">
        <f t="shared" si="330"/>
        <v>40049.989920000007</v>
      </c>
      <c r="H200" s="60">
        <f>45000*1.02*1.02*1.02*1.02</f>
        <v>48709.447200000002</v>
      </c>
      <c r="I200" s="63"/>
      <c r="J200" s="63"/>
      <c r="K200" s="63"/>
      <c r="L200" s="75">
        <f t="shared" si="331"/>
        <v>48709.447200000002</v>
      </c>
      <c r="N200" s="60">
        <f>70000*1.02*1.02*1.02*1.02</f>
        <v>75770.251199999999</v>
      </c>
      <c r="O200" s="63"/>
      <c r="P200" s="63"/>
      <c r="Q200" s="63"/>
      <c r="R200" s="75">
        <f t="shared" si="332"/>
        <v>75770.251199999999</v>
      </c>
      <c r="T200" s="60"/>
      <c r="U200" s="63"/>
      <c r="V200" s="63"/>
      <c r="W200" s="63"/>
      <c r="X200" s="75">
        <f t="shared" si="333"/>
        <v>0</v>
      </c>
      <c r="Y200" s="194"/>
      <c r="Z200" s="60">
        <v>65000</v>
      </c>
      <c r="AA200" s="63"/>
      <c r="AB200" s="63"/>
      <c r="AC200" s="63"/>
      <c r="AD200" s="75">
        <f t="shared" si="334"/>
        <v>65000</v>
      </c>
      <c r="AE200" s="194"/>
      <c r="AF200" s="60">
        <f>35000*1.03*1.02*1.03</f>
        <v>37874.129999999997</v>
      </c>
      <c r="AG200" s="63"/>
      <c r="AH200" s="63"/>
      <c r="AI200" s="63"/>
      <c r="AJ200" s="75">
        <f t="shared" si="335"/>
        <v>37874.129999999997</v>
      </c>
      <c r="AL200" s="60"/>
      <c r="AM200" s="63"/>
      <c r="AN200" s="63"/>
      <c r="AO200" s="63"/>
      <c r="AP200" s="75">
        <f t="shared" si="336"/>
        <v>0</v>
      </c>
      <c r="AR200" s="60">
        <f t="shared" si="337"/>
        <v>267403.81832000002</v>
      </c>
      <c r="AS200" s="60">
        <f t="shared" si="329"/>
        <v>0</v>
      </c>
      <c r="AT200" s="60">
        <f t="shared" si="329"/>
        <v>0</v>
      </c>
      <c r="AU200" s="60">
        <f t="shared" si="329"/>
        <v>0</v>
      </c>
      <c r="AV200" s="75">
        <f t="shared" si="338"/>
        <v>267403.81832000002</v>
      </c>
    </row>
    <row r="201" spans="1:49" x14ac:dyDescent="0.25">
      <c r="A201" s="32" t="s">
        <v>147</v>
      </c>
      <c r="B201" s="60">
        <f>12500*1.02*1.02*1.02*1.02</f>
        <v>13530.402</v>
      </c>
      <c r="C201" s="63"/>
      <c r="D201" s="63"/>
      <c r="E201" s="63"/>
      <c r="F201" s="75">
        <f t="shared" si="330"/>
        <v>13530.402</v>
      </c>
      <c r="H201" s="60">
        <f>7500*1.02*1.02*1.02*1.02</f>
        <v>8118.2412000000004</v>
      </c>
      <c r="I201" s="63"/>
      <c r="J201" s="63"/>
      <c r="K201" s="63"/>
      <c r="L201" s="75">
        <f t="shared" si="331"/>
        <v>8118.2412000000004</v>
      </c>
      <c r="N201" s="60">
        <f>21000*1.02*1.02*1.02*1.02</f>
        <v>22731.075360000003</v>
      </c>
      <c r="O201" s="63"/>
      <c r="P201" s="63"/>
      <c r="Q201" s="63"/>
      <c r="R201" s="75">
        <f t="shared" si="332"/>
        <v>22731.075360000003</v>
      </c>
      <c r="T201" s="60">
        <f>5500+500+500+500+500</f>
        <v>7500</v>
      </c>
      <c r="U201" s="63"/>
      <c r="V201" s="63"/>
      <c r="W201" s="63"/>
      <c r="X201" s="75">
        <f t="shared" si="333"/>
        <v>7500</v>
      </c>
      <c r="Y201" s="194"/>
      <c r="Z201" s="60">
        <v>15000</v>
      </c>
      <c r="AA201" s="63"/>
      <c r="AB201" s="63"/>
      <c r="AC201" s="63"/>
      <c r="AD201" s="75">
        <f t="shared" si="334"/>
        <v>15000</v>
      </c>
      <c r="AE201" s="194"/>
      <c r="AF201" s="60">
        <f>7500+500+500+500</f>
        <v>9000</v>
      </c>
      <c r="AG201" s="63"/>
      <c r="AH201" s="63"/>
      <c r="AI201" s="63"/>
      <c r="AJ201" s="75">
        <f t="shared" si="335"/>
        <v>9000</v>
      </c>
      <c r="AL201" s="60"/>
      <c r="AM201" s="63"/>
      <c r="AN201" s="63"/>
      <c r="AO201" s="63"/>
      <c r="AP201" s="75">
        <f t="shared" si="336"/>
        <v>0</v>
      </c>
      <c r="AR201" s="60">
        <f t="shared" si="337"/>
        <v>75879.718560000008</v>
      </c>
      <c r="AS201" s="60">
        <f t="shared" si="329"/>
        <v>0</v>
      </c>
      <c r="AT201" s="60">
        <f t="shared" si="329"/>
        <v>0</v>
      </c>
      <c r="AU201" s="60">
        <f t="shared" si="329"/>
        <v>0</v>
      </c>
      <c r="AV201" s="75">
        <f t="shared" si="338"/>
        <v>75879.718560000008</v>
      </c>
    </row>
    <row r="202" spans="1:49" x14ac:dyDescent="0.25">
      <c r="A202" s="32" t="s">
        <v>148</v>
      </c>
      <c r="B202" s="60">
        <f>((8015*13))*1.03*1.03*1.03*1.03</f>
        <v>117272.39045795002</v>
      </c>
      <c r="C202" s="63"/>
      <c r="D202" s="63"/>
      <c r="E202" s="63"/>
      <c r="F202" s="75">
        <f t="shared" si="330"/>
        <v>117272.39045795002</v>
      </c>
      <c r="H202" s="60">
        <f>(((7105*13))+10000)*1.03*1.03*1.03*1.03</f>
        <v>115212.70933565001</v>
      </c>
      <c r="I202" s="63"/>
      <c r="J202" s="63"/>
      <c r="K202" s="63"/>
      <c r="L202" s="75">
        <f t="shared" si="331"/>
        <v>115212.70933565001</v>
      </c>
      <c r="N202" s="60">
        <f>((24050*13)+(12500*2))*1.03*1.03*1.03*1.03</f>
        <v>380028.04969650001</v>
      </c>
      <c r="O202" s="63"/>
      <c r="P202" s="63"/>
      <c r="Q202" s="63"/>
      <c r="R202" s="75">
        <f t="shared" si="332"/>
        <v>380028.04969650001</v>
      </c>
      <c r="T202" s="60">
        <f>(2475*13)*1.05*1.05*1.04*1.04</f>
        <v>38367.529200000004</v>
      </c>
      <c r="U202" s="63"/>
      <c r="V202" s="63"/>
      <c r="W202" s="63"/>
      <c r="X202" s="75">
        <f t="shared" si="333"/>
        <v>38367.529200000004</v>
      </c>
      <c r="Y202" s="194"/>
      <c r="Z202" s="60">
        <f>(((8105*13))+10000)*1.03*1.03*1.03*1.03</f>
        <v>129844.32386565</v>
      </c>
      <c r="AA202" s="63"/>
      <c r="AB202" s="63"/>
      <c r="AC202" s="63"/>
      <c r="AD202" s="75">
        <f t="shared" si="334"/>
        <v>129844.32386565</v>
      </c>
      <c r="AE202" s="194"/>
      <c r="AF202" s="60">
        <f>(((7105*13)+5000))*1.05*1.03*1.03</f>
        <v>108459.254925</v>
      </c>
      <c r="AG202" s="63"/>
      <c r="AH202" s="63"/>
      <c r="AI202" s="63"/>
      <c r="AJ202" s="75">
        <f t="shared" si="335"/>
        <v>108459.254925</v>
      </c>
      <c r="AL202" s="60"/>
      <c r="AM202" s="63"/>
      <c r="AN202" s="63"/>
      <c r="AO202" s="63"/>
      <c r="AP202" s="75">
        <f t="shared" si="336"/>
        <v>0</v>
      </c>
      <c r="AR202" s="60">
        <f t="shared" si="337"/>
        <v>889184.25748075009</v>
      </c>
      <c r="AS202" s="60">
        <f t="shared" si="329"/>
        <v>0</v>
      </c>
      <c r="AT202" s="60">
        <f t="shared" si="329"/>
        <v>0</v>
      </c>
      <c r="AU202" s="60">
        <f t="shared" si="329"/>
        <v>0</v>
      </c>
      <c r="AV202" s="75">
        <f t="shared" si="338"/>
        <v>889184.25748075009</v>
      </c>
    </row>
    <row r="203" spans="1:49" x14ac:dyDescent="0.25">
      <c r="A203" s="32" t="s">
        <v>149</v>
      </c>
      <c r="B203" s="60">
        <f>145000+5000+5000+5000+5000</f>
        <v>165000</v>
      </c>
      <c r="C203" s="63"/>
      <c r="D203" s="63"/>
      <c r="E203" s="63"/>
      <c r="F203" s="75">
        <f t="shared" si="330"/>
        <v>165000</v>
      </c>
      <c r="H203" s="60">
        <f>140000+5000+5000+5000+5000</f>
        <v>160000</v>
      </c>
      <c r="I203" s="63"/>
      <c r="J203" s="63"/>
      <c r="K203" s="63"/>
      <c r="L203" s="75">
        <f t="shared" si="331"/>
        <v>160000</v>
      </c>
      <c r="N203" s="60">
        <f>235000+10000+10000+10000+10000</f>
        <v>275000</v>
      </c>
      <c r="O203" s="63"/>
      <c r="P203" s="63"/>
      <c r="Q203" s="63">
        <v>0</v>
      </c>
      <c r="R203" s="75">
        <f t="shared" si="332"/>
        <v>275000</v>
      </c>
      <c r="T203" s="60">
        <f>40000+10000+5000+5000+5000</f>
        <v>65000</v>
      </c>
      <c r="U203" s="63"/>
      <c r="V203" s="63">
        <v>0</v>
      </c>
      <c r="W203" s="63"/>
      <c r="X203" s="75">
        <f t="shared" si="333"/>
        <v>65000</v>
      </c>
      <c r="Y203" s="194"/>
      <c r="Z203" s="60">
        <f>125000+10000</f>
        <v>135000</v>
      </c>
      <c r="AA203" s="63"/>
      <c r="AB203" s="63">
        <v>0</v>
      </c>
      <c r="AC203" s="63"/>
      <c r="AD203" s="75">
        <f t="shared" si="334"/>
        <v>135000</v>
      </c>
      <c r="AE203" s="194"/>
      <c r="AF203" s="60">
        <v>90000</v>
      </c>
      <c r="AG203" s="63"/>
      <c r="AH203" s="63">
        <v>0</v>
      </c>
      <c r="AI203" s="63"/>
      <c r="AJ203" s="75">
        <f t="shared" si="335"/>
        <v>90000</v>
      </c>
      <c r="AL203" s="60"/>
      <c r="AM203" s="63"/>
      <c r="AN203" s="63"/>
      <c r="AO203" s="63">
        <f>AO85</f>
        <v>0</v>
      </c>
      <c r="AP203" s="75">
        <f t="shared" si="336"/>
        <v>0</v>
      </c>
      <c r="AR203" s="60">
        <f t="shared" si="337"/>
        <v>890000</v>
      </c>
      <c r="AS203" s="60">
        <f t="shared" si="329"/>
        <v>0</v>
      </c>
      <c r="AT203" s="60">
        <f t="shared" si="329"/>
        <v>0</v>
      </c>
      <c r="AU203" s="60">
        <f t="shared" si="329"/>
        <v>0</v>
      </c>
      <c r="AV203" s="75">
        <f t="shared" si="338"/>
        <v>890000</v>
      </c>
    </row>
    <row r="204" spans="1:49" x14ac:dyDescent="0.25">
      <c r="A204" s="32" t="s">
        <v>150</v>
      </c>
      <c r="B204" s="60">
        <v>0</v>
      </c>
      <c r="C204" s="63"/>
      <c r="D204" s="63"/>
      <c r="E204" s="63"/>
      <c r="F204" s="75">
        <f t="shared" si="330"/>
        <v>0</v>
      </c>
      <c r="H204" s="60">
        <v>0</v>
      </c>
      <c r="I204" s="63"/>
      <c r="J204" s="63"/>
      <c r="K204" s="63"/>
      <c r="L204" s="75">
        <f t="shared" si="331"/>
        <v>0</v>
      </c>
      <c r="N204" s="60">
        <v>0</v>
      </c>
      <c r="O204" s="63"/>
      <c r="P204" s="63"/>
      <c r="Q204" s="63"/>
      <c r="R204" s="75">
        <f t="shared" si="332"/>
        <v>0</v>
      </c>
      <c r="T204" s="60"/>
      <c r="U204" s="63"/>
      <c r="V204" s="63"/>
      <c r="W204" s="63"/>
      <c r="X204" s="75">
        <f t="shared" si="333"/>
        <v>0</v>
      </c>
      <c r="Y204" s="194"/>
      <c r="Z204" s="60">
        <v>0</v>
      </c>
      <c r="AA204" s="63"/>
      <c r="AB204" s="63"/>
      <c r="AC204" s="63"/>
      <c r="AD204" s="75">
        <f t="shared" si="334"/>
        <v>0</v>
      </c>
      <c r="AE204" s="194"/>
      <c r="AF204" s="60">
        <v>0</v>
      </c>
      <c r="AG204" s="63"/>
      <c r="AH204" s="63"/>
      <c r="AI204" s="63"/>
      <c r="AJ204" s="75">
        <f t="shared" si="335"/>
        <v>0</v>
      </c>
      <c r="AL204" s="60"/>
      <c r="AM204" s="63"/>
      <c r="AN204" s="63"/>
      <c r="AO204" s="63"/>
      <c r="AP204" s="75">
        <f t="shared" si="336"/>
        <v>0</v>
      </c>
      <c r="AR204" s="60">
        <f t="shared" si="337"/>
        <v>0</v>
      </c>
      <c r="AS204" s="60">
        <f t="shared" si="329"/>
        <v>0</v>
      </c>
      <c r="AT204" s="60">
        <f t="shared" si="329"/>
        <v>0</v>
      </c>
      <c r="AU204" s="60">
        <f t="shared" si="329"/>
        <v>0</v>
      </c>
      <c r="AV204" s="75">
        <f t="shared" si="338"/>
        <v>0</v>
      </c>
    </row>
    <row r="205" spans="1:49" x14ac:dyDescent="0.25">
      <c r="A205" s="32" t="s">
        <v>151</v>
      </c>
      <c r="B205" s="60">
        <f>25250*1.02*1.02*1.02*1.02</f>
        <v>27331.412040000003</v>
      </c>
      <c r="C205" s="63"/>
      <c r="D205" s="63"/>
      <c r="E205" s="63"/>
      <c r="F205" s="75">
        <f t="shared" si="330"/>
        <v>27331.412040000003</v>
      </c>
      <c r="H205" s="60">
        <f>(((700*1.04)*12)+12000)*1.02*1.02*1.02*1.02</f>
        <v>22445.313269760005</v>
      </c>
      <c r="I205" s="63"/>
      <c r="J205" s="63"/>
      <c r="K205" s="63"/>
      <c r="L205" s="75">
        <f t="shared" si="331"/>
        <v>22445.313269760005</v>
      </c>
      <c r="N205" s="60">
        <f>(((1750*1.04)*12)+14000)*1.03*1.02*1.02*1.02</f>
        <v>39174.705561600007</v>
      </c>
      <c r="O205" s="63"/>
      <c r="P205" s="63"/>
      <c r="Q205" s="63"/>
      <c r="R205" s="75">
        <f t="shared" si="332"/>
        <v>39174.705561600007</v>
      </c>
      <c r="T205" s="60">
        <f>750*12*1.03*1.03*1.03*1.03</f>
        <v>10129.579290000001</v>
      </c>
      <c r="U205" s="63"/>
      <c r="V205" s="63"/>
      <c r="W205" s="63"/>
      <c r="X205" s="75">
        <f t="shared" si="333"/>
        <v>10129.579290000001</v>
      </c>
      <c r="Y205" s="194"/>
      <c r="Z205" s="60">
        <f>(((900*1.04)*12)+16000)*1.02*1.02*1.02</f>
        <v>28898.816256000002</v>
      </c>
      <c r="AA205" s="63"/>
      <c r="AB205" s="63"/>
      <c r="AC205" s="63"/>
      <c r="AD205" s="75">
        <f t="shared" si="334"/>
        <v>28898.816256000002</v>
      </c>
      <c r="AE205" s="194"/>
      <c r="AF205" s="60">
        <f>(((700*1.04)*12)+12000)*1.03*1.02*1.02</f>
        <v>22220.946432000001</v>
      </c>
      <c r="AG205" s="63"/>
      <c r="AH205" s="63"/>
      <c r="AI205" s="63"/>
      <c r="AJ205" s="75">
        <f t="shared" si="335"/>
        <v>22220.946432000001</v>
      </c>
      <c r="AL205" s="60"/>
      <c r="AM205" s="63"/>
      <c r="AN205" s="63"/>
      <c r="AO205" s="63"/>
      <c r="AP205" s="75">
        <f t="shared" si="336"/>
        <v>0</v>
      </c>
      <c r="AR205" s="60">
        <f t="shared" si="337"/>
        <v>150200.77284935999</v>
      </c>
      <c r="AS205" s="60">
        <f t="shared" si="329"/>
        <v>0</v>
      </c>
      <c r="AT205" s="60">
        <f t="shared" si="329"/>
        <v>0</v>
      </c>
      <c r="AU205" s="60">
        <f t="shared" si="329"/>
        <v>0</v>
      </c>
      <c r="AV205" s="75">
        <f t="shared" si="338"/>
        <v>150200.77284935999</v>
      </c>
    </row>
    <row r="206" spans="1:49" x14ac:dyDescent="0.25">
      <c r="A206" s="33" t="s">
        <v>152</v>
      </c>
      <c r="B206" s="60">
        <f>((13610*1.04)+20000)*1.03*1.02*1.02*1.03</f>
        <v>37698.272839584002</v>
      </c>
      <c r="C206" s="64"/>
      <c r="D206" s="64"/>
      <c r="E206" s="64"/>
      <c r="F206" s="75">
        <f t="shared" si="330"/>
        <v>37698.272839584002</v>
      </c>
      <c r="H206" s="60">
        <f>((12860*1.04)+20000)*1.03*1.02*1.02*1.02</f>
        <v>36479.695683456004</v>
      </c>
      <c r="I206" s="64"/>
      <c r="J206" s="64"/>
      <c r="K206" s="64"/>
      <c r="L206" s="75">
        <f t="shared" si="331"/>
        <v>36479.695683456004</v>
      </c>
      <c r="N206" s="60">
        <f>((24500*1.04)+30000)*1.03*1.02*1.02*1.02</f>
        <v>60642.094435200001</v>
      </c>
      <c r="O206" s="64"/>
      <c r="P206" s="64"/>
      <c r="Q206" s="64"/>
      <c r="R206" s="75">
        <f t="shared" si="332"/>
        <v>60642.094435200001</v>
      </c>
      <c r="T206" s="60">
        <f>20000*1.03*1.03*1.03*1.03</f>
        <v>22510.176200000002</v>
      </c>
      <c r="U206" s="64"/>
      <c r="V206" s="64"/>
      <c r="W206" s="64"/>
      <c r="X206" s="75">
        <f t="shared" si="333"/>
        <v>22510.176200000002</v>
      </c>
      <c r="Y206" s="194"/>
      <c r="Z206" s="60">
        <f>((12860*1.04)+30000)*1.03*1.02*1.02*1.02</f>
        <v>47410.138083456004</v>
      </c>
      <c r="AA206" s="64"/>
      <c r="AB206" s="64"/>
      <c r="AC206" s="64"/>
      <c r="AD206" s="75">
        <f t="shared" si="334"/>
        <v>47410.138083456004</v>
      </c>
      <c r="AE206" s="194"/>
      <c r="AF206" s="60">
        <f>((12860*1.04)+20000)*1.03*1.02*1.02</f>
        <v>35764.407532800004</v>
      </c>
      <c r="AG206" s="64"/>
      <c r="AH206" s="64"/>
      <c r="AI206" s="64"/>
      <c r="AJ206" s="75">
        <f t="shared" si="335"/>
        <v>35764.407532800004</v>
      </c>
      <c r="AL206" s="60"/>
      <c r="AM206" s="64"/>
      <c r="AN206" s="64"/>
      <c r="AO206" s="64"/>
      <c r="AP206" s="75">
        <f t="shared" si="336"/>
        <v>0</v>
      </c>
      <c r="AR206" s="60">
        <f t="shared" si="337"/>
        <v>240504.78477449602</v>
      </c>
      <c r="AS206" s="60">
        <f t="shared" si="329"/>
        <v>0</v>
      </c>
      <c r="AT206" s="60">
        <f t="shared" si="329"/>
        <v>0</v>
      </c>
      <c r="AU206" s="60">
        <f t="shared" si="329"/>
        <v>0</v>
      </c>
      <c r="AV206" s="75">
        <f t="shared" si="338"/>
        <v>240504.78477449602</v>
      </c>
    </row>
    <row r="207" spans="1:49" x14ac:dyDescent="0.25">
      <c r="A207" s="34"/>
      <c r="B207" s="76">
        <f>SUM(B197:B206)</f>
        <v>565953.37165753404</v>
      </c>
      <c r="C207" s="76">
        <f t="shared" ref="C207:F207" si="339">SUM(C197:C206)</f>
        <v>0</v>
      </c>
      <c r="D207" s="76">
        <f t="shared" si="339"/>
        <v>0</v>
      </c>
      <c r="E207" s="76">
        <f t="shared" si="339"/>
        <v>0</v>
      </c>
      <c r="F207" s="76">
        <f t="shared" si="339"/>
        <v>565953.37165753404</v>
      </c>
      <c r="H207" s="76">
        <f>SUM(H197:H206)</f>
        <v>555495.09500886605</v>
      </c>
      <c r="I207" s="76">
        <f t="shared" ref="I207:L207" si="340">SUM(I197:I206)</f>
        <v>0</v>
      </c>
      <c r="J207" s="76">
        <f t="shared" si="340"/>
        <v>0</v>
      </c>
      <c r="K207" s="76">
        <f t="shared" si="340"/>
        <v>0</v>
      </c>
      <c r="L207" s="76">
        <f t="shared" si="340"/>
        <v>555495.09500886605</v>
      </c>
      <c r="N207" s="76">
        <f>SUM(N197:N206)</f>
        <v>1319874.4372133</v>
      </c>
      <c r="O207" s="76">
        <f t="shared" ref="O207:R207" si="341">SUM(O197:O206)</f>
        <v>0</v>
      </c>
      <c r="P207" s="76">
        <f t="shared" si="341"/>
        <v>0</v>
      </c>
      <c r="Q207" s="76">
        <f t="shared" si="341"/>
        <v>0</v>
      </c>
      <c r="R207" s="76">
        <f t="shared" si="341"/>
        <v>1319874.4372133</v>
      </c>
      <c r="T207" s="76">
        <f>SUM(T197:T206)</f>
        <v>232911.87385000003</v>
      </c>
      <c r="U207" s="76">
        <f t="shared" ref="U207:X207" si="342">SUM(U197:U206)</f>
        <v>0</v>
      </c>
      <c r="V207" s="76">
        <f t="shared" si="342"/>
        <v>0</v>
      </c>
      <c r="W207" s="76">
        <f t="shared" si="342"/>
        <v>0</v>
      </c>
      <c r="X207" s="76">
        <f t="shared" si="342"/>
        <v>232911.87385000003</v>
      </c>
      <c r="Y207" s="199"/>
      <c r="Z207" s="76">
        <f>SUM(Z197:Z206)</f>
        <v>616153.27820510592</v>
      </c>
      <c r="AA207" s="76">
        <f t="shared" ref="AA207:AD207" si="343">SUM(AA197:AA206)</f>
        <v>0</v>
      </c>
      <c r="AB207" s="76">
        <f t="shared" si="343"/>
        <v>0</v>
      </c>
      <c r="AC207" s="76">
        <f t="shared" si="343"/>
        <v>0</v>
      </c>
      <c r="AD207" s="76">
        <f t="shared" si="343"/>
        <v>616153.27820510592</v>
      </c>
      <c r="AE207" s="199"/>
      <c r="AF207" s="76">
        <f>SUM(AF197:AF206)</f>
        <v>478585.08388980001</v>
      </c>
      <c r="AG207" s="76">
        <f t="shared" ref="AG207:AJ207" si="344">SUM(AG197:AG206)</f>
        <v>0</v>
      </c>
      <c r="AH207" s="76">
        <f t="shared" si="344"/>
        <v>0</v>
      </c>
      <c r="AI207" s="76">
        <f t="shared" si="344"/>
        <v>0</v>
      </c>
      <c r="AJ207" s="76">
        <f t="shared" si="344"/>
        <v>478585.08388980001</v>
      </c>
      <c r="AL207" s="76">
        <f>SUM(AL197:AL206)</f>
        <v>0</v>
      </c>
      <c r="AM207" s="76">
        <f t="shared" ref="AM207:AP207" si="345">SUM(AM197:AM206)</f>
        <v>0</v>
      </c>
      <c r="AN207" s="76">
        <f t="shared" si="345"/>
        <v>0</v>
      </c>
      <c r="AO207" s="76">
        <f t="shared" si="345"/>
        <v>0</v>
      </c>
      <c r="AP207" s="76">
        <f t="shared" si="345"/>
        <v>0</v>
      </c>
      <c r="AR207" s="76">
        <f>SUM(AR197:AR206)</f>
        <v>3768973.1398246065</v>
      </c>
      <c r="AS207" s="76">
        <f t="shared" ref="AS207:AV207" si="346">SUM(AS197:AS206)</f>
        <v>0</v>
      </c>
      <c r="AT207" s="76">
        <f t="shared" si="346"/>
        <v>0</v>
      </c>
      <c r="AU207" s="76">
        <f t="shared" si="346"/>
        <v>0</v>
      </c>
      <c r="AV207" s="76">
        <f t="shared" si="346"/>
        <v>3768973.1398246065</v>
      </c>
    </row>
    <row r="208" spans="1:49" ht="16.5" thickBot="1" x14ac:dyDescent="0.3">
      <c r="B208" s="77"/>
      <c r="C208" s="77"/>
      <c r="D208" s="77"/>
      <c r="E208" s="77"/>
      <c r="F208" s="77"/>
      <c r="H208" s="77"/>
      <c r="I208" s="77"/>
      <c r="J208" s="77"/>
      <c r="K208" s="77"/>
      <c r="L208" s="77"/>
      <c r="N208" s="77"/>
      <c r="O208" s="77"/>
      <c r="P208" s="77"/>
      <c r="Q208" s="77"/>
      <c r="R208" s="77"/>
      <c r="T208" s="77"/>
      <c r="U208" s="77"/>
      <c r="V208" s="77"/>
      <c r="W208" s="77"/>
      <c r="X208" s="77"/>
      <c r="Y208" s="79"/>
      <c r="Z208" s="77"/>
      <c r="AA208" s="77"/>
      <c r="AB208" s="77"/>
      <c r="AC208" s="77"/>
      <c r="AD208" s="77"/>
      <c r="AE208" s="79"/>
      <c r="AF208" s="77"/>
      <c r="AG208" s="77"/>
      <c r="AH208" s="77"/>
      <c r="AI208" s="77"/>
      <c r="AJ208" s="77"/>
      <c r="AL208" s="77"/>
      <c r="AM208" s="77"/>
      <c r="AN208" s="77"/>
      <c r="AO208" s="77"/>
      <c r="AP208" s="77"/>
      <c r="AR208" s="77"/>
      <c r="AS208" s="77"/>
      <c r="AT208" s="77"/>
      <c r="AU208" s="77"/>
      <c r="AV208" s="77"/>
    </row>
    <row r="209" spans="1:48" ht="16.5" thickBot="1" x14ac:dyDescent="0.3">
      <c r="A209"/>
      <c r="B209" s="80">
        <f t="shared" ref="B209:F209" si="347">B207+B194+B171+B159+B149+B141+B132+B125+B116+B109</f>
        <v>10842781.586202741</v>
      </c>
      <c r="C209" s="80">
        <f t="shared" si="347"/>
        <v>1310321.1977690025</v>
      </c>
      <c r="D209" s="80">
        <f t="shared" si="347"/>
        <v>1243616.5</v>
      </c>
      <c r="E209" s="80">
        <f t="shared" si="347"/>
        <v>0</v>
      </c>
      <c r="F209" s="80">
        <f t="shared" si="347"/>
        <v>13396719.283971742</v>
      </c>
      <c r="H209" s="80">
        <f t="shared" ref="H209:L209" si="348">H207+H194+H171+H159+H149+H141+H132+H125+H116+H109</f>
        <v>10727982.341789331</v>
      </c>
      <c r="I209" s="80">
        <f t="shared" si="348"/>
        <v>1214924.4352690026</v>
      </c>
      <c r="J209" s="80">
        <f t="shared" si="348"/>
        <v>1054991.8</v>
      </c>
      <c r="K209" s="80">
        <f t="shared" si="348"/>
        <v>0</v>
      </c>
      <c r="L209" s="80">
        <f t="shared" si="348"/>
        <v>12997898.577058336</v>
      </c>
      <c r="N209" s="80">
        <f t="shared" ref="N209:R209" si="349">N207+N194+N171+N159+N149+N141+N132+N125+N116+N109</f>
        <v>23881016.916472487</v>
      </c>
      <c r="O209" s="80">
        <f t="shared" si="349"/>
        <v>3057886.2416283824</v>
      </c>
      <c r="P209" s="80">
        <f t="shared" si="349"/>
        <v>1887978.7</v>
      </c>
      <c r="Q209" s="80">
        <f t="shared" si="349"/>
        <v>0</v>
      </c>
      <c r="R209" s="80">
        <f t="shared" si="349"/>
        <v>28826881.858100869</v>
      </c>
      <c r="T209" s="80">
        <f t="shared" ref="T209:X209" si="350">T207+T194+T171+T159+T149+T141+T132+T125+T116+T109</f>
        <v>4356633.6509341663</v>
      </c>
      <c r="U209" s="80">
        <f t="shared" si="350"/>
        <v>626730.80000000005</v>
      </c>
      <c r="V209" s="80">
        <f t="shared" si="350"/>
        <v>414224.55</v>
      </c>
      <c r="W209" s="80">
        <f t="shared" si="350"/>
        <v>0</v>
      </c>
      <c r="X209" s="80">
        <f t="shared" si="350"/>
        <v>5397589.0009341668</v>
      </c>
      <c r="Y209" s="199"/>
      <c r="Z209" s="80">
        <f t="shared" ref="Z209:AD209" si="351">Z207+Z194+Z171+Z159+Z149+Z141+Z132+Z125+Z116+Z109</f>
        <v>9281887.9963514414</v>
      </c>
      <c r="AA209" s="80">
        <f t="shared" si="351"/>
        <v>1256643.05</v>
      </c>
      <c r="AB209" s="80">
        <f t="shared" si="351"/>
        <v>1105160.8999999999</v>
      </c>
      <c r="AC209" s="80">
        <f t="shared" si="351"/>
        <v>0</v>
      </c>
      <c r="AD209" s="80">
        <f t="shared" si="351"/>
        <v>11643691.946351442</v>
      </c>
      <c r="AE209" s="199"/>
      <c r="AF209" s="80">
        <f t="shared" ref="AF209:AJ209" si="352">AF207+AF194+AF171+AF159+AF149+AF141+AF132+AF125+AF116+AF109</f>
        <v>9011381.8148844</v>
      </c>
      <c r="AG209" s="80">
        <f t="shared" si="352"/>
        <v>1132399.575</v>
      </c>
      <c r="AH209" s="80">
        <f t="shared" si="352"/>
        <v>848484.1</v>
      </c>
      <c r="AI209" s="80">
        <f t="shared" si="352"/>
        <v>0</v>
      </c>
      <c r="AJ209" s="80">
        <f t="shared" si="352"/>
        <v>10992265.489884399</v>
      </c>
      <c r="AL209" s="80">
        <f t="shared" ref="AL209:AP209" si="353">AL207+AL194+AL171+AL159+AL149+AL141+AL132+AL125+AL116+AL109</f>
        <v>360245.87205802498</v>
      </c>
      <c r="AM209" s="80">
        <f t="shared" si="353"/>
        <v>481757.53486164374</v>
      </c>
      <c r="AN209" s="80">
        <f t="shared" si="353"/>
        <v>108621.31165402342</v>
      </c>
      <c r="AO209" s="80">
        <f t="shared" si="353"/>
        <v>1993737.5</v>
      </c>
      <c r="AP209" s="80">
        <f t="shared" si="353"/>
        <v>2944362.2185736923</v>
      </c>
      <c r="AR209" s="80">
        <f t="shared" ref="AR209:AV209" si="354">AR207+AR194+AR171+AR159+AR149+AR141+AR132+AR125+AR116+AR109</f>
        <v>68461930.178692594</v>
      </c>
      <c r="AS209" s="80">
        <f t="shared" si="354"/>
        <v>9080662.8345280308</v>
      </c>
      <c r="AT209" s="80">
        <f t="shared" si="354"/>
        <v>6663077.8616540227</v>
      </c>
      <c r="AU209" s="80">
        <f t="shared" si="354"/>
        <v>1993737.5</v>
      </c>
      <c r="AV209" s="80">
        <f t="shared" si="354"/>
        <v>86199408.374874651</v>
      </c>
    </row>
    <row r="210" spans="1:48" ht="16.5" thickBot="1" x14ac:dyDescent="0.3">
      <c r="B210" s="77"/>
      <c r="C210" s="77"/>
      <c r="D210" s="77"/>
      <c r="E210" s="77"/>
      <c r="F210" s="77"/>
      <c r="H210" s="77"/>
      <c r="I210" s="77"/>
      <c r="J210" s="77"/>
      <c r="K210" s="77"/>
      <c r="L210" s="77"/>
      <c r="N210" s="77"/>
      <c r="O210" s="77"/>
      <c r="P210" s="77"/>
      <c r="Q210" s="77"/>
      <c r="R210" s="77"/>
      <c r="T210" s="77"/>
      <c r="U210" s="77"/>
      <c r="V210" s="77"/>
      <c r="W210" s="77"/>
      <c r="X210" s="77"/>
      <c r="Y210" s="79"/>
      <c r="Z210" s="77"/>
      <c r="AA210" s="77"/>
      <c r="AB210" s="77"/>
      <c r="AC210" s="77"/>
      <c r="AD210" s="77"/>
      <c r="AE210" s="79"/>
      <c r="AF210" s="77"/>
      <c r="AG210" s="77"/>
      <c r="AH210" s="77"/>
      <c r="AI210" s="77"/>
      <c r="AJ210" s="77"/>
      <c r="AL210" s="57"/>
      <c r="AM210" s="57"/>
      <c r="AN210" s="57"/>
      <c r="AO210" s="57"/>
      <c r="AP210" s="77"/>
      <c r="AR210" s="57"/>
      <c r="AS210" s="57"/>
      <c r="AT210" s="57"/>
      <c r="AU210" s="57"/>
      <c r="AV210" s="77"/>
    </row>
    <row r="211" spans="1:48" ht="16.5" thickBot="1" x14ac:dyDescent="0.3">
      <c r="A211" s="36"/>
      <c r="B211" s="81"/>
      <c r="C211" s="81"/>
      <c r="D211" s="81"/>
      <c r="E211" s="81"/>
      <c r="F211" s="81"/>
      <c r="H211" s="81"/>
      <c r="I211" s="81"/>
      <c r="J211" s="81"/>
      <c r="K211" s="81"/>
      <c r="L211" s="81"/>
      <c r="N211" s="81"/>
      <c r="O211" s="81"/>
      <c r="P211" s="81"/>
      <c r="Q211" s="81"/>
      <c r="R211" s="81"/>
      <c r="T211" s="81"/>
      <c r="U211" s="81"/>
      <c r="V211" s="81"/>
      <c r="W211" s="81"/>
      <c r="X211" s="81"/>
      <c r="Y211" s="194"/>
      <c r="Z211" s="81"/>
      <c r="AA211" s="81"/>
      <c r="AB211" s="81"/>
      <c r="AC211" s="81"/>
      <c r="AD211" s="81"/>
      <c r="AE211" s="194"/>
      <c r="AF211" s="81"/>
      <c r="AG211" s="81"/>
      <c r="AH211" s="81"/>
      <c r="AI211" s="81"/>
      <c r="AJ211" s="81"/>
      <c r="AL211" s="81"/>
      <c r="AM211" s="81"/>
      <c r="AN211" s="81"/>
      <c r="AO211" s="81"/>
      <c r="AP211" s="81"/>
      <c r="AR211" s="81"/>
      <c r="AS211" s="81"/>
      <c r="AT211" s="81"/>
      <c r="AU211" s="81"/>
      <c r="AV211" s="81"/>
    </row>
    <row r="212" spans="1:48" x14ac:dyDescent="0.25">
      <c r="A212" s="37" t="s">
        <v>153</v>
      </c>
      <c r="B212" s="82">
        <v>0</v>
      </c>
      <c r="C212" s="82"/>
      <c r="D212" s="82"/>
      <c r="E212" s="82"/>
      <c r="F212" s="82">
        <f>SUM(B212:E212)</f>
        <v>0</v>
      </c>
      <c r="H212" s="82">
        <v>0</v>
      </c>
      <c r="I212" s="82"/>
      <c r="J212" s="82"/>
      <c r="K212" s="82"/>
      <c r="L212" s="82">
        <f>SUM(H212:K212)</f>
        <v>0</v>
      </c>
      <c r="N212" s="82">
        <v>0</v>
      </c>
      <c r="O212" s="82"/>
      <c r="P212" s="82"/>
      <c r="Q212" s="82"/>
      <c r="R212" s="82">
        <f>SUM(N212:Q212)</f>
        <v>0</v>
      </c>
      <c r="T212" s="82">
        <v>0</v>
      </c>
      <c r="U212" s="82"/>
      <c r="V212" s="82"/>
      <c r="W212" s="82"/>
      <c r="X212" s="82">
        <f>SUM(T212:W212)</f>
        <v>0</v>
      </c>
      <c r="Y212" s="194"/>
      <c r="Z212" s="82">
        <f>1300000+1400000</f>
        <v>2700000</v>
      </c>
      <c r="AA212" s="82"/>
      <c r="AB212" s="82"/>
      <c r="AC212" s="82"/>
      <c r="AD212" s="82">
        <f>SUM(Z212:AC212)</f>
        <v>2700000</v>
      </c>
      <c r="AE212" s="194"/>
      <c r="AF212" s="82">
        <v>2554000</v>
      </c>
      <c r="AG212" s="82"/>
      <c r="AH212" s="82"/>
      <c r="AI212" s="82"/>
      <c r="AJ212" s="82">
        <f>SUM(AF212:AI212)</f>
        <v>2554000</v>
      </c>
      <c r="AL212" s="82"/>
      <c r="AM212" s="82"/>
      <c r="AN212" s="82"/>
      <c r="AO212" s="82"/>
      <c r="AP212" s="82">
        <f>SUM(AL212:AO212)</f>
        <v>0</v>
      </c>
      <c r="AR212" s="82">
        <f>B212+H212+N212+T212+AL212+AF212+Z212</f>
        <v>5254000</v>
      </c>
      <c r="AS212" s="82">
        <f t="shared" ref="AS212:AU215" si="355">C212+I212+O212+U212+AM212+AG212+AA212</f>
        <v>0</v>
      </c>
      <c r="AT212" s="82">
        <f t="shared" si="355"/>
        <v>0</v>
      </c>
      <c r="AU212" s="82">
        <f t="shared" si="355"/>
        <v>0</v>
      </c>
      <c r="AV212" s="82">
        <f>SUM(AR212:AU212)</f>
        <v>5254000</v>
      </c>
    </row>
    <row r="213" spans="1:48" x14ac:dyDescent="0.25">
      <c r="A213" s="38" t="s">
        <v>154</v>
      </c>
      <c r="B213" s="83">
        <v>365000</v>
      </c>
      <c r="C213" s="83"/>
      <c r="D213" s="83"/>
      <c r="E213" s="83"/>
      <c r="F213" s="82">
        <f t="shared" ref="F213:F215" si="356">SUM(B213:E213)</f>
        <v>365000</v>
      </c>
      <c r="H213" s="83">
        <v>345000</v>
      </c>
      <c r="I213" s="83"/>
      <c r="J213" s="83"/>
      <c r="K213" s="83"/>
      <c r="L213" s="82">
        <f t="shared" ref="L213:L215" si="357">SUM(H213:K213)</f>
        <v>345000</v>
      </c>
      <c r="N213" s="83">
        <v>1030000</v>
      </c>
      <c r="O213" s="83"/>
      <c r="P213" s="83"/>
      <c r="Q213" s="83"/>
      <c r="R213" s="82">
        <f t="shared" ref="R213:R215" si="358">SUM(N213:Q213)</f>
        <v>1030000</v>
      </c>
      <c r="T213" s="83">
        <v>207500</v>
      </c>
      <c r="U213" s="83"/>
      <c r="V213" s="83"/>
      <c r="W213" s="83"/>
      <c r="X213" s="82">
        <f t="shared" ref="X213:X215" si="359">SUM(T213:W213)</f>
        <v>207500</v>
      </c>
      <c r="Y213" s="194"/>
      <c r="Z213" s="83"/>
      <c r="AA213" s="83"/>
      <c r="AB213" s="83"/>
      <c r="AC213" s="83"/>
      <c r="AD213" s="82">
        <f t="shared" ref="AD213:AD215" si="360">SUM(Z213:AC213)</f>
        <v>0</v>
      </c>
      <c r="AE213" s="194"/>
      <c r="AF213" s="83"/>
      <c r="AG213" s="83"/>
      <c r="AH213" s="83"/>
      <c r="AI213" s="83"/>
      <c r="AJ213" s="82">
        <f t="shared" ref="AJ213:AJ215" si="361">SUM(AF213:AI213)</f>
        <v>0</v>
      </c>
      <c r="AL213" s="83"/>
      <c r="AM213" s="83"/>
      <c r="AN213" s="83"/>
      <c r="AO213" s="83"/>
      <c r="AP213" s="82">
        <f t="shared" ref="AP213:AP215" si="362">SUM(AL213:AO213)</f>
        <v>0</v>
      </c>
      <c r="AR213" s="82">
        <f t="shared" ref="AR213:AR215" si="363">B213+H213+N213+T213+AL213+AF213+Z213</f>
        <v>1947500</v>
      </c>
      <c r="AS213" s="82">
        <f t="shared" si="355"/>
        <v>0</v>
      </c>
      <c r="AT213" s="82">
        <f t="shared" si="355"/>
        <v>0</v>
      </c>
      <c r="AU213" s="82">
        <f t="shared" si="355"/>
        <v>0</v>
      </c>
      <c r="AV213" s="82">
        <f t="shared" ref="AV213:AV215" si="364">SUM(AR213:AU213)</f>
        <v>1947500</v>
      </c>
    </row>
    <row r="214" spans="1:48" x14ac:dyDescent="0.25">
      <c r="A214" s="38" t="s">
        <v>155</v>
      </c>
      <c r="B214" s="83">
        <v>657207</v>
      </c>
      <c r="C214" s="83"/>
      <c r="D214" s="83"/>
      <c r="E214" s="83"/>
      <c r="F214" s="82">
        <f t="shared" si="356"/>
        <v>657207</v>
      </c>
      <c r="H214" s="83">
        <v>639800</v>
      </c>
      <c r="I214" s="83"/>
      <c r="J214" s="83"/>
      <c r="K214" s="83"/>
      <c r="L214" s="82">
        <f t="shared" si="357"/>
        <v>639800</v>
      </c>
      <c r="N214" s="83">
        <v>2589875</v>
      </c>
      <c r="O214" s="83"/>
      <c r="P214" s="83"/>
      <c r="Q214" s="83"/>
      <c r="R214" s="82">
        <f t="shared" si="358"/>
        <v>2589875</v>
      </c>
      <c r="T214" s="83">
        <v>1073313</v>
      </c>
      <c r="U214" s="83"/>
      <c r="V214" s="83"/>
      <c r="W214" s="83"/>
      <c r="X214" s="82">
        <f t="shared" si="359"/>
        <v>1073313</v>
      </c>
      <c r="Y214" s="194"/>
      <c r="Z214" s="83"/>
      <c r="AA214" s="83"/>
      <c r="AB214" s="83"/>
      <c r="AC214" s="83"/>
      <c r="AD214" s="82">
        <f t="shared" si="360"/>
        <v>0</v>
      </c>
      <c r="AE214" s="194"/>
      <c r="AF214" s="83"/>
      <c r="AG214" s="83"/>
      <c r="AH214" s="83"/>
      <c r="AI214" s="83"/>
      <c r="AJ214" s="82">
        <f t="shared" si="361"/>
        <v>0</v>
      </c>
      <c r="AL214" s="83"/>
      <c r="AM214" s="83"/>
      <c r="AN214" s="83"/>
      <c r="AO214" s="83"/>
      <c r="AP214" s="82">
        <f t="shared" si="362"/>
        <v>0</v>
      </c>
      <c r="AR214" s="82">
        <f t="shared" si="363"/>
        <v>4960195</v>
      </c>
      <c r="AS214" s="82">
        <f t="shared" si="355"/>
        <v>0</v>
      </c>
      <c r="AT214" s="82">
        <f t="shared" si="355"/>
        <v>0</v>
      </c>
      <c r="AU214" s="82">
        <f t="shared" si="355"/>
        <v>0</v>
      </c>
      <c r="AV214" s="82">
        <f t="shared" si="364"/>
        <v>4960195</v>
      </c>
    </row>
    <row r="215" spans="1:48" x14ac:dyDescent="0.25">
      <c r="A215" s="39" t="s">
        <v>156</v>
      </c>
      <c r="B215" s="84">
        <v>0</v>
      </c>
      <c r="C215" s="84"/>
      <c r="D215" s="84"/>
      <c r="E215" s="84"/>
      <c r="F215" s="82">
        <f t="shared" si="356"/>
        <v>0</v>
      </c>
      <c r="H215" s="84">
        <v>0</v>
      </c>
      <c r="I215" s="84"/>
      <c r="J215" s="84"/>
      <c r="K215" s="84"/>
      <c r="L215" s="82">
        <f t="shared" si="357"/>
        <v>0</v>
      </c>
      <c r="N215" s="84">
        <v>0</v>
      </c>
      <c r="O215" s="84"/>
      <c r="P215" s="84"/>
      <c r="Q215" s="84"/>
      <c r="R215" s="82">
        <f t="shared" si="358"/>
        <v>0</v>
      </c>
      <c r="T215" s="84">
        <v>0</v>
      </c>
      <c r="U215" s="84"/>
      <c r="V215" s="84"/>
      <c r="W215" s="84"/>
      <c r="X215" s="82">
        <f t="shared" si="359"/>
        <v>0</v>
      </c>
      <c r="Y215" s="194"/>
      <c r="Z215" s="84">
        <v>0</v>
      </c>
      <c r="AA215" s="84"/>
      <c r="AB215" s="84"/>
      <c r="AC215" s="84"/>
      <c r="AD215" s="82">
        <f t="shared" si="360"/>
        <v>0</v>
      </c>
      <c r="AE215" s="194"/>
      <c r="AF215" s="84">
        <v>0</v>
      </c>
      <c r="AG215" s="84"/>
      <c r="AH215" s="84"/>
      <c r="AI215" s="84"/>
      <c r="AJ215" s="82">
        <f t="shared" si="361"/>
        <v>0</v>
      </c>
      <c r="AL215" s="84"/>
      <c r="AM215" s="84"/>
      <c r="AN215" s="84"/>
      <c r="AO215" s="84"/>
      <c r="AP215" s="82">
        <f t="shared" si="362"/>
        <v>0</v>
      </c>
      <c r="AR215" s="82">
        <f t="shared" si="363"/>
        <v>0</v>
      </c>
      <c r="AS215" s="82">
        <f t="shared" si="355"/>
        <v>0</v>
      </c>
      <c r="AT215" s="82">
        <f t="shared" si="355"/>
        <v>0</v>
      </c>
      <c r="AU215" s="82">
        <f t="shared" si="355"/>
        <v>0</v>
      </c>
      <c r="AV215" s="82">
        <f t="shared" si="364"/>
        <v>0</v>
      </c>
    </row>
    <row r="216" spans="1:48" x14ac:dyDescent="0.25">
      <c r="A216" s="27"/>
      <c r="B216" s="76">
        <f>SUM(B212:B215)</f>
        <v>1022207</v>
      </c>
      <c r="C216" s="76">
        <f t="shared" ref="C216:F216" si="365">SUM(C212:C215)</f>
        <v>0</v>
      </c>
      <c r="D216" s="76">
        <f t="shared" si="365"/>
        <v>0</v>
      </c>
      <c r="E216" s="76">
        <f t="shared" si="365"/>
        <v>0</v>
      </c>
      <c r="F216" s="76">
        <f t="shared" si="365"/>
        <v>1022207</v>
      </c>
      <c r="H216" s="76">
        <f>SUM(H212:H215)</f>
        <v>984800</v>
      </c>
      <c r="I216" s="76">
        <f t="shared" ref="I216:L216" si="366">SUM(I212:I215)</f>
        <v>0</v>
      </c>
      <c r="J216" s="76">
        <f t="shared" si="366"/>
        <v>0</v>
      </c>
      <c r="K216" s="76">
        <f t="shared" si="366"/>
        <v>0</v>
      </c>
      <c r="L216" s="76">
        <f t="shared" si="366"/>
        <v>984800</v>
      </c>
      <c r="N216" s="76">
        <f>SUM(N212:N215)</f>
        <v>3619875</v>
      </c>
      <c r="O216" s="76">
        <f t="shared" ref="O216:R216" si="367">SUM(O212:O215)</f>
        <v>0</v>
      </c>
      <c r="P216" s="76">
        <f t="shared" si="367"/>
        <v>0</v>
      </c>
      <c r="Q216" s="76">
        <f t="shared" si="367"/>
        <v>0</v>
      </c>
      <c r="R216" s="76">
        <f t="shared" si="367"/>
        <v>3619875</v>
      </c>
      <c r="T216" s="76">
        <f t="shared" ref="T216:X216" si="368">SUM(T212:T215)</f>
        <v>1280813</v>
      </c>
      <c r="U216" s="76">
        <f t="shared" si="368"/>
        <v>0</v>
      </c>
      <c r="V216" s="76">
        <f t="shared" si="368"/>
        <v>0</v>
      </c>
      <c r="W216" s="76">
        <f t="shared" si="368"/>
        <v>0</v>
      </c>
      <c r="X216" s="76">
        <f t="shared" si="368"/>
        <v>1280813</v>
      </c>
      <c r="Y216" s="199"/>
      <c r="Z216" s="76">
        <f t="shared" ref="Z216:AD216" si="369">SUM(Z212:Z215)</f>
        <v>2700000</v>
      </c>
      <c r="AA216" s="76">
        <f t="shared" si="369"/>
        <v>0</v>
      </c>
      <c r="AB216" s="76">
        <f t="shared" si="369"/>
        <v>0</v>
      </c>
      <c r="AC216" s="76">
        <f t="shared" si="369"/>
        <v>0</v>
      </c>
      <c r="AD216" s="76">
        <f t="shared" si="369"/>
        <v>2700000</v>
      </c>
      <c r="AE216" s="199"/>
      <c r="AF216" s="76">
        <f t="shared" ref="AF216:AJ216" si="370">SUM(AF212:AF215)</f>
        <v>2554000</v>
      </c>
      <c r="AG216" s="76">
        <f t="shared" si="370"/>
        <v>0</v>
      </c>
      <c r="AH216" s="76">
        <f t="shared" si="370"/>
        <v>0</v>
      </c>
      <c r="AI216" s="76">
        <f t="shared" si="370"/>
        <v>0</v>
      </c>
      <c r="AJ216" s="76">
        <f t="shared" si="370"/>
        <v>2554000</v>
      </c>
      <c r="AL216" s="76">
        <f>SUM(AL212:AL215)</f>
        <v>0</v>
      </c>
      <c r="AM216" s="76">
        <f t="shared" ref="AM216:AP216" si="371">SUM(AM212:AM215)</f>
        <v>0</v>
      </c>
      <c r="AN216" s="76">
        <f t="shared" si="371"/>
        <v>0</v>
      </c>
      <c r="AO216" s="76">
        <f t="shared" si="371"/>
        <v>0</v>
      </c>
      <c r="AP216" s="76">
        <f t="shared" si="371"/>
        <v>0</v>
      </c>
      <c r="AR216" s="76">
        <f>SUM(AR212:AR215)</f>
        <v>12161695</v>
      </c>
      <c r="AS216" s="76">
        <f t="shared" ref="AS216:AV216" si="372">SUM(AS212:AS215)</f>
        <v>0</v>
      </c>
      <c r="AT216" s="76">
        <f t="shared" si="372"/>
        <v>0</v>
      </c>
      <c r="AU216" s="76">
        <f t="shared" si="372"/>
        <v>0</v>
      </c>
      <c r="AV216" s="76">
        <f t="shared" si="372"/>
        <v>12161695</v>
      </c>
    </row>
    <row r="217" spans="1:48" ht="16.5" thickBot="1" x14ac:dyDescent="0.3">
      <c r="B217" s="77"/>
      <c r="C217" s="77"/>
      <c r="D217" s="77"/>
      <c r="E217" s="77"/>
      <c r="F217" s="77"/>
      <c r="H217" s="77"/>
      <c r="I217" s="77"/>
      <c r="J217" s="77"/>
      <c r="K217" s="77"/>
      <c r="L217" s="77"/>
      <c r="N217" s="77"/>
      <c r="O217" s="77"/>
      <c r="P217" s="77"/>
      <c r="Q217" s="77"/>
      <c r="R217" s="77"/>
      <c r="T217" s="77"/>
      <c r="U217" s="77"/>
      <c r="V217" s="77"/>
      <c r="W217" s="77"/>
      <c r="X217" s="77"/>
      <c r="Y217" s="79"/>
      <c r="Z217" s="77"/>
      <c r="AA217" s="77"/>
      <c r="AB217" s="77"/>
      <c r="AC217" s="77"/>
      <c r="AD217" s="77"/>
      <c r="AE217" s="79"/>
      <c r="AF217" s="77"/>
      <c r="AG217" s="77"/>
      <c r="AH217" s="77"/>
      <c r="AI217" s="77"/>
      <c r="AJ217" s="77"/>
      <c r="AL217" s="77"/>
      <c r="AM217" s="77"/>
      <c r="AN217" s="77"/>
      <c r="AO217" s="77"/>
      <c r="AP217" s="77"/>
      <c r="AR217" s="77"/>
      <c r="AS217" s="77"/>
      <c r="AT217" s="77"/>
      <c r="AU217" s="77"/>
      <c r="AV217" s="77"/>
    </row>
    <row r="218" spans="1:48" ht="16.5" thickBot="1" x14ac:dyDescent="0.3">
      <c r="A218" s="40"/>
      <c r="B218" s="85">
        <f t="shared" ref="B218:F218" si="373">(B82+B88)-(B216+B209)</f>
        <v>466986.91379725933</v>
      </c>
      <c r="C218" s="85">
        <f t="shared" si="373"/>
        <v>-383310.19776900252</v>
      </c>
      <c r="D218" s="85">
        <f t="shared" si="373"/>
        <v>-47785.498300000094</v>
      </c>
      <c r="E218" s="85">
        <f t="shared" si="373"/>
        <v>0</v>
      </c>
      <c r="F218" s="85">
        <f t="shared" si="373"/>
        <v>35891.217728257179</v>
      </c>
      <c r="H218" s="85">
        <f t="shared" ref="H218:L218" si="374">(H82+H88)-(H216+H209)</f>
        <v>610781.15821066871</v>
      </c>
      <c r="I218" s="85">
        <f t="shared" si="374"/>
        <v>-287913.43526900257</v>
      </c>
      <c r="J218" s="85">
        <f t="shared" si="374"/>
        <v>-72956.04850000015</v>
      </c>
      <c r="K218" s="85">
        <f t="shared" si="374"/>
        <v>0</v>
      </c>
      <c r="L218" s="85">
        <f t="shared" si="374"/>
        <v>249911.67444166355</v>
      </c>
      <c r="N218" s="85">
        <f t="shared" ref="N218:Q218" si="375">(N82+N88)-(N216+N209)</f>
        <v>1913891.3335275128</v>
      </c>
      <c r="O218" s="85">
        <f t="shared" si="375"/>
        <v>-788029.24162838235</v>
      </c>
      <c r="P218" s="85">
        <f t="shared" si="375"/>
        <v>-361606.79799999972</v>
      </c>
      <c r="Q218" s="85">
        <f t="shared" si="375"/>
        <v>0</v>
      </c>
      <c r="R218" s="85">
        <f>(R82+R88)-(R216+R209)</f>
        <v>764255.29389913008</v>
      </c>
      <c r="T218" s="85">
        <f t="shared" ref="T218:X218" si="376">(T82+T88)-(T216+T209)</f>
        <v>428592.47406583373</v>
      </c>
      <c r="U218" s="85">
        <f t="shared" si="376"/>
        <v>-323610.80000000005</v>
      </c>
      <c r="V218" s="85">
        <f t="shared" si="376"/>
        <v>46125.450000000012</v>
      </c>
      <c r="W218" s="85">
        <f t="shared" si="376"/>
        <v>0</v>
      </c>
      <c r="X218" s="85">
        <f t="shared" si="376"/>
        <v>151107.12406583317</v>
      </c>
      <c r="Y218" s="199"/>
      <c r="Z218" s="85">
        <f t="shared" ref="Z218:AD218" si="377">(Z82+Z88)-(Z216+Z209)</f>
        <v>817059.56614855863</v>
      </c>
      <c r="AA218" s="85">
        <f t="shared" si="377"/>
        <v>-736390.05</v>
      </c>
      <c r="AB218" s="85">
        <f t="shared" si="377"/>
        <v>-65390.899999999907</v>
      </c>
      <c r="AC218" s="85">
        <f t="shared" si="377"/>
        <v>0</v>
      </c>
      <c r="AD218" s="85">
        <f t="shared" si="377"/>
        <v>15278.616148557514</v>
      </c>
      <c r="AE218" s="199"/>
      <c r="AF218" s="85">
        <f t="shared" ref="AF218:AJ218" si="378">(AF82+AF88)-(AF216+AF209)</f>
        <v>682298.1851156</v>
      </c>
      <c r="AG218" s="85">
        <f t="shared" si="378"/>
        <v>-589886.57499999995</v>
      </c>
      <c r="AH218" s="85">
        <f t="shared" si="378"/>
        <v>-47034.099999999977</v>
      </c>
      <c r="AI218" s="85">
        <f t="shared" si="378"/>
        <v>0</v>
      </c>
      <c r="AJ218" s="85">
        <f t="shared" si="378"/>
        <v>45377.510115601122</v>
      </c>
      <c r="AL218" s="85">
        <f t="shared" ref="AL218:AP218" si="379">(AL82+AL88)-(AL216+AL209)</f>
        <v>-360245.87205802498</v>
      </c>
      <c r="AM218" s="85">
        <f t="shared" si="379"/>
        <v>-481757.53486164374</v>
      </c>
      <c r="AN218" s="85">
        <f t="shared" si="379"/>
        <v>-108621.31165402342</v>
      </c>
      <c r="AO218" s="85">
        <f t="shared" si="379"/>
        <v>-415.5</v>
      </c>
      <c r="AP218" s="85">
        <f t="shared" si="379"/>
        <v>-951040.21857369225</v>
      </c>
      <c r="AR218" s="85">
        <f t="shared" ref="AR218:AV218" si="380">(AR82+AR88)-(AR216+AR209)</f>
        <v>4559363.7588074058</v>
      </c>
      <c r="AS218" s="85">
        <f t="shared" si="380"/>
        <v>-3590897.8345280308</v>
      </c>
      <c r="AT218" s="85">
        <f t="shared" si="380"/>
        <v>-657269.20645402186</v>
      </c>
      <c r="AU218" s="85">
        <f t="shared" si="380"/>
        <v>-415.5</v>
      </c>
      <c r="AV218" s="85">
        <f t="shared" si="380"/>
        <v>310781.21782535315</v>
      </c>
    </row>
    <row r="219" spans="1:48" x14ac:dyDescent="0.25">
      <c r="B219" s="77"/>
      <c r="C219" s="77"/>
      <c r="D219" s="77"/>
      <c r="E219" s="77"/>
      <c r="F219" s="77"/>
      <c r="H219" s="77"/>
      <c r="I219" s="77"/>
      <c r="J219" s="77"/>
      <c r="K219" s="77"/>
      <c r="L219" s="77"/>
      <c r="N219" s="77"/>
      <c r="O219" s="77"/>
      <c r="P219" s="77"/>
      <c r="Q219" s="77"/>
      <c r="R219" s="77"/>
      <c r="T219" s="77"/>
      <c r="U219" s="77"/>
      <c r="V219" s="77"/>
      <c r="W219" s="77"/>
      <c r="X219" s="77"/>
      <c r="Y219" s="79"/>
      <c r="Z219" s="77"/>
      <c r="AA219" s="77"/>
      <c r="AB219" s="77"/>
      <c r="AC219" s="77"/>
      <c r="AD219" s="77"/>
      <c r="AE219" s="79"/>
      <c r="AF219" s="77"/>
      <c r="AG219" s="77"/>
      <c r="AH219" s="77"/>
      <c r="AI219" s="77"/>
      <c r="AJ219" s="77"/>
      <c r="AL219" s="77"/>
      <c r="AM219" s="77"/>
      <c r="AN219" s="77"/>
      <c r="AO219" s="77"/>
      <c r="AP219" s="77"/>
      <c r="AR219" s="77"/>
      <c r="AS219" s="77"/>
      <c r="AT219" s="77"/>
      <c r="AU219" s="77"/>
      <c r="AV219" s="77"/>
    </row>
    <row r="220" spans="1:48" x14ac:dyDescent="0.25">
      <c r="A220" s="41" t="str">
        <f>A1</f>
        <v>Mater Academy - System</v>
      </c>
      <c r="B220" s="86" t="str">
        <f t="shared" ref="B220:F220" si="381">B20</f>
        <v>Operating</v>
      </c>
      <c r="C220" s="86" t="str">
        <f t="shared" si="381"/>
        <v>SPED</v>
      </c>
      <c r="D220" s="86" t="str">
        <f t="shared" si="381"/>
        <v>NSLP</v>
      </c>
      <c r="E220" s="86" t="str">
        <f t="shared" si="381"/>
        <v>Other</v>
      </c>
      <c r="F220" s="86" t="str">
        <f t="shared" si="381"/>
        <v>FY30- Mtn</v>
      </c>
      <c r="H220" s="86" t="str">
        <f t="shared" ref="H220:L220" si="382">H20</f>
        <v>Operating</v>
      </c>
      <c r="I220" s="86" t="str">
        <f t="shared" si="382"/>
        <v>SPED</v>
      </c>
      <c r="J220" s="86" t="str">
        <f t="shared" si="382"/>
        <v>NSLP</v>
      </c>
      <c r="K220" s="86" t="str">
        <f t="shared" si="382"/>
        <v>Other</v>
      </c>
      <c r="L220" s="86" t="str">
        <f t="shared" si="382"/>
        <v>FY30- Bon</v>
      </c>
      <c r="N220" s="86" t="str">
        <f t="shared" ref="N220:R220" si="383">N20</f>
        <v>Operating</v>
      </c>
      <c r="O220" s="86" t="str">
        <f t="shared" si="383"/>
        <v>SPED</v>
      </c>
      <c r="P220" s="86" t="str">
        <f t="shared" si="383"/>
        <v>NSLP</v>
      </c>
      <c r="Q220" s="86" t="str">
        <f t="shared" si="383"/>
        <v>Other</v>
      </c>
      <c r="R220" s="86" t="str">
        <f t="shared" si="383"/>
        <v>FY30- East</v>
      </c>
      <c r="T220" s="86" t="str">
        <f t="shared" ref="T220:X220" si="384">T20</f>
        <v>Operating</v>
      </c>
      <c r="U220" s="86" t="str">
        <f t="shared" si="384"/>
        <v>SPED</v>
      </c>
      <c r="V220" s="86" t="str">
        <f t="shared" si="384"/>
        <v>NSLP</v>
      </c>
      <c r="W220" s="86" t="str">
        <f t="shared" si="384"/>
        <v>Other</v>
      </c>
      <c r="X220" s="86" t="str">
        <f t="shared" si="384"/>
        <v>FY30- Cactus</v>
      </c>
      <c r="Y220" s="202"/>
      <c r="Z220" s="86" t="str">
        <f t="shared" ref="Z220:AD220" si="385">Z20</f>
        <v>Operating</v>
      </c>
      <c r="AA220" s="86" t="str">
        <f t="shared" si="385"/>
        <v>SPED</v>
      </c>
      <c r="AB220" s="86" t="str">
        <f t="shared" si="385"/>
        <v>NSLP</v>
      </c>
      <c r="AC220" s="86" t="str">
        <f t="shared" si="385"/>
        <v>Other</v>
      </c>
      <c r="AD220" s="86" t="str">
        <f t="shared" si="385"/>
        <v>FY30- Sahara</v>
      </c>
      <c r="AE220" s="202"/>
      <c r="AF220" s="86" t="str">
        <f t="shared" ref="AF220:AJ220" si="386">AF20</f>
        <v>Operating</v>
      </c>
      <c r="AG220" s="86" t="str">
        <f t="shared" si="386"/>
        <v>SPED</v>
      </c>
      <c r="AH220" s="86" t="str">
        <f t="shared" si="386"/>
        <v>NSLP</v>
      </c>
      <c r="AI220" s="86" t="str">
        <f t="shared" si="386"/>
        <v>Other</v>
      </c>
      <c r="AJ220" s="86" t="str">
        <f t="shared" si="386"/>
        <v>FY30- VV</v>
      </c>
      <c r="AL220" s="86" t="str">
        <f t="shared" ref="AL220:AP220" si="387">AL20</f>
        <v>Operating</v>
      </c>
      <c r="AM220" s="86" t="str">
        <f t="shared" si="387"/>
        <v>SPED</v>
      </c>
      <c r="AN220" s="86" t="str">
        <f t="shared" si="387"/>
        <v>NSLP</v>
      </c>
      <c r="AO220" s="86" t="str">
        <f t="shared" si="387"/>
        <v>Grant</v>
      </c>
      <c r="AP220" s="86" t="str">
        <f t="shared" si="387"/>
        <v>FY30 - Central</v>
      </c>
      <c r="AR220" s="86" t="str">
        <f t="shared" ref="AR220:AV220" si="388">AR20</f>
        <v>Operating</v>
      </c>
      <c r="AS220" s="86" t="str">
        <f t="shared" si="388"/>
        <v>SPED</v>
      </c>
      <c r="AT220" s="86" t="str">
        <f t="shared" si="388"/>
        <v>NSLP</v>
      </c>
      <c r="AU220" s="86" t="str">
        <f t="shared" si="388"/>
        <v>Other</v>
      </c>
      <c r="AV220" s="86" t="str">
        <f t="shared" si="388"/>
        <v>FY29- Sys</v>
      </c>
    </row>
    <row r="221" spans="1:48" x14ac:dyDescent="0.25">
      <c r="H221" s="57"/>
      <c r="I221" s="57"/>
      <c r="J221" s="57"/>
      <c r="K221" s="57"/>
    </row>
    <row r="222" spans="1:48" x14ac:dyDescent="0.25">
      <c r="Z222" s="220">
        <f>Z212/(Z82+AA82)</f>
        <v>0.20271486920932835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83B6-0974-4195-A868-62D48F80EAF6}">
  <dimension ref="A1:AW222"/>
  <sheetViews>
    <sheetView zoomScaleNormal="100" workbookViewId="0">
      <pane xSplit="1" topLeftCell="W1" activePane="topRight" state="frozen"/>
      <selection pane="topRight" activeCell="N50" sqref="N50"/>
    </sheetView>
  </sheetViews>
  <sheetFormatPr defaultRowHeight="15.75" x14ac:dyDescent="0.25"/>
  <cols>
    <col min="1" max="1" width="55.5703125" style="7" bestFit="1" customWidth="1"/>
    <col min="2" max="6" width="14.42578125" customWidth="1"/>
    <col min="8" max="12" width="15" customWidth="1"/>
    <col min="14" max="18" width="15.42578125" customWidth="1"/>
    <col min="20" max="24" width="15.85546875" customWidth="1"/>
    <col min="25" max="25" width="6.42578125" customWidth="1"/>
    <col min="26" max="30" width="15.85546875" customWidth="1"/>
    <col min="31" max="31" width="5" customWidth="1"/>
    <col min="32" max="36" width="19.42578125" customWidth="1"/>
    <col min="38" max="42" width="16.42578125" customWidth="1"/>
    <col min="44" max="48" width="16.42578125" customWidth="1"/>
    <col min="49" max="49" width="10.140625" bestFit="1" customWidth="1"/>
  </cols>
  <sheetData>
    <row r="1" spans="1:45" x14ac:dyDescent="0.25">
      <c r="A1" s="1" t="s">
        <v>0</v>
      </c>
      <c r="B1" s="1" t="s">
        <v>318</v>
      </c>
      <c r="H1" s="1" t="s">
        <v>317</v>
      </c>
      <c r="N1" s="1" t="s">
        <v>315</v>
      </c>
      <c r="O1" s="57"/>
      <c r="T1" s="1" t="s">
        <v>312</v>
      </c>
      <c r="U1" s="57"/>
      <c r="Z1" s="1" t="s">
        <v>340</v>
      </c>
      <c r="AA1" s="57"/>
      <c r="AF1" s="1" t="s">
        <v>311</v>
      </c>
      <c r="AG1" s="57"/>
      <c r="AL1" s="1" t="s">
        <v>308</v>
      </c>
      <c r="AM1" s="57"/>
      <c r="AR1" s="1" t="s">
        <v>307</v>
      </c>
      <c r="AS1" s="57"/>
    </row>
    <row r="2" spans="1:45" x14ac:dyDescent="0.25">
      <c r="A2" s="2" t="s">
        <v>1</v>
      </c>
      <c r="B2" s="42">
        <v>10125</v>
      </c>
      <c r="H2" s="42">
        <f>B2</f>
        <v>10125</v>
      </c>
      <c r="N2" s="42">
        <f>H2</f>
        <v>10125</v>
      </c>
      <c r="O2" s="57"/>
      <c r="T2" s="42">
        <f>N2</f>
        <v>10125</v>
      </c>
      <c r="U2" s="57"/>
      <c r="Z2" s="42">
        <f>T2</f>
        <v>10125</v>
      </c>
      <c r="AA2" s="57"/>
      <c r="AF2" s="42">
        <f>T2</f>
        <v>10125</v>
      </c>
      <c r="AG2" s="57"/>
      <c r="AL2" s="42">
        <f>T2</f>
        <v>10125</v>
      </c>
      <c r="AM2" s="57"/>
      <c r="AR2" s="42">
        <f>AL2</f>
        <v>10125</v>
      </c>
      <c r="AS2" s="57"/>
    </row>
    <row r="3" spans="1:45" x14ac:dyDescent="0.25">
      <c r="A3" s="3" t="s">
        <v>2</v>
      </c>
      <c r="B3" s="43">
        <f>B4+B5+B6+B7+B8+B9+B10+B11+B12+B13+B14+B15+B16</f>
        <v>1028</v>
      </c>
      <c r="H3" s="43">
        <f>H4+H5+H6+H7+H8+H9+H10+H11+H12+H13+H14+H15+H16</f>
        <v>1028</v>
      </c>
      <c r="N3" s="43">
        <f>N4+N5+N6+N7+N8+N9+N10+N11+N12+N13+N14+N15+N16</f>
        <v>2511</v>
      </c>
      <c r="O3" s="90"/>
      <c r="T3" s="43">
        <f>T4+T5+T6+T7+T8+T9+T10+T11+T12+T13+T14+T15+T16</f>
        <v>540</v>
      </c>
      <c r="U3" s="90"/>
      <c r="Z3" s="43">
        <f>Z4+Z5+Z6+Z7+Z8+Z9+Z10+Z11+Z12+Z13+Z14+Z15+Z16</f>
        <v>1361</v>
      </c>
      <c r="AA3" s="90"/>
      <c r="AF3" s="43">
        <f>AF4+AF5+AF6+AF7+AF8+AF9+AF10+AF11+AF12+AF13+AF14+AF15+AF16</f>
        <v>1027</v>
      </c>
      <c r="AG3" s="90"/>
      <c r="AL3" s="43">
        <f>AL4+AL5+AL6+AL7+AL8+AL9+AL10+AL11+AL12+AL13+AL14+AL15+AL16</f>
        <v>0</v>
      </c>
      <c r="AM3" s="90"/>
      <c r="AR3" s="43">
        <f>AR4+AR5+AR6+AR7+AR8+AR9+AR10+AR11+AR12+AR13+AR14+AR15+AR16</f>
        <v>7495</v>
      </c>
      <c r="AS3" s="90"/>
    </row>
    <row r="4" spans="1:45" x14ac:dyDescent="0.25">
      <c r="A4" s="4" t="s">
        <v>3</v>
      </c>
      <c r="B4" s="44">
        <v>104</v>
      </c>
      <c r="C4" s="92">
        <v>4</v>
      </c>
      <c r="H4" s="44">
        <v>104</v>
      </c>
      <c r="I4" s="92">
        <v>4</v>
      </c>
      <c r="N4" s="45">
        <f>26*4</f>
        <v>104</v>
      </c>
      <c r="O4" s="92">
        <v>4</v>
      </c>
      <c r="P4" s="166"/>
      <c r="T4" s="44">
        <f>26*4</f>
        <v>104</v>
      </c>
      <c r="U4" s="92">
        <v>4</v>
      </c>
      <c r="Z4" s="44">
        <f>26*3</f>
        <v>78</v>
      </c>
      <c r="AA4" s="92">
        <v>3</v>
      </c>
      <c r="AF4" s="44">
        <v>100</v>
      </c>
      <c r="AG4" s="92">
        <v>4</v>
      </c>
      <c r="AL4" s="44"/>
      <c r="AM4" s="90"/>
      <c r="AR4" s="44">
        <f>B4+H4+N4+T4+AL4+AF4+Z4</f>
        <v>594</v>
      </c>
      <c r="AS4" s="90"/>
    </row>
    <row r="5" spans="1:45" x14ac:dyDescent="0.25">
      <c r="A5" s="3" t="s">
        <v>4</v>
      </c>
      <c r="B5" s="44">
        <v>111</v>
      </c>
      <c r="C5" s="92">
        <v>4</v>
      </c>
      <c r="H5" s="44">
        <v>111</v>
      </c>
      <c r="I5" s="92">
        <v>4</v>
      </c>
      <c r="N5" s="45">
        <v>111</v>
      </c>
      <c r="O5" s="92">
        <v>4</v>
      </c>
      <c r="P5" s="166"/>
      <c r="T5" s="44">
        <f>26*3</f>
        <v>78</v>
      </c>
      <c r="U5" s="92">
        <v>3</v>
      </c>
      <c r="Z5" s="44">
        <f>28*3-1</f>
        <v>83</v>
      </c>
      <c r="AA5" s="92">
        <v>3</v>
      </c>
      <c r="AF5" s="44">
        <v>111</v>
      </c>
      <c r="AG5" s="92">
        <v>4</v>
      </c>
      <c r="AL5" s="44"/>
      <c r="AM5" s="90"/>
      <c r="AR5" s="44">
        <f t="shared" ref="AR5:AR16" si="0">B5+H5+N5+T5+AL5+AF5+Z5</f>
        <v>605</v>
      </c>
      <c r="AS5" s="90"/>
    </row>
    <row r="6" spans="1:45" x14ac:dyDescent="0.25">
      <c r="A6" s="3" t="s">
        <v>5</v>
      </c>
      <c r="B6" s="44">
        <v>111</v>
      </c>
      <c r="C6" s="92">
        <v>4</v>
      </c>
      <c r="H6" s="44">
        <v>111</v>
      </c>
      <c r="I6" s="92">
        <v>4</v>
      </c>
      <c r="N6" s="45">
        <v>111</v>
      </c>
      <c r="O6" s="92">
        <v>4</v>
      </c>
      <c r="P6" s="166"/>
      <c r="T6" s="44">
        <f>28*3</f>
        <v>84</v>
      </c>
      <c r="U6" s="92">
        <v>3</v>
      </c>
      <c r="V6" s="166"/>
      <c r="Z6" s="44">
        <f t="shared" ref="Z6:Z9" si="1">28*3-1</f>
        <v>83</v>
      </c>
      <c r="AA6" s="92">
        <v>3</v>
      </c>
      <c r="AB6" s="166"/>
      <c r="AF6" s="44">
        <v>111</v>
      </c>
      <c r="AG6" s="92">
        <v>4</v>
      </c>
      <c r="AH6" s="166"/>
      <c r="AL6" s="44"/>
      <c r="AM6" s="90"/>
      <c r="AR6" s="44">
        <f t="shared" si="0"/>
        <v>611</v>
      </c>
      <c r="AS6" s="90"/>
    </row>
    <row r="7" spans="1:45" x14ac:dyDescent="0.25">
      <c r="A7" s="5" t="s">
        <v>6</v>
      </c>
      <c r="B7" s="44">
        <v>111</v>
      </c>
      <c r="C7" s="92">
        <v>4</v>
      </c>
      <c r="H7" s="44">
        <v>111</v>
      </c>
      <c r="I7" s="92">
        <v>4</v>
      </c>
      <c r="N7" s="45">
        <v>111</v>
      </c>
      <c r="O7" s="92">
        <v>4</v>
      </c>
      <c r="P7" s="166"/>
      <c r="T7" s="44">
        <v>82</v>
      </c>
      <c r="U7" s="92">
        <v>3</v>
      </c>
      <c r="V7" s="166"/>
      <c r="Z7" s="44">
        <f t="shared" si="1"/>
        <v>83</v>
      </c>
      <c r="AA7" s="92">
        <v>3</v>
      </c>
      <c r="AB7" s="166"/>
      <c r="AF7" s="44">
        <v>111</v>
      </c>
      <c r="AG7" s="92">
        <v>4</v>
      </c>
      <c r="AH7" s="166"/>
      <c r="AL7" s="44"/>
      <c r="AM7" s="90"/>
      <c r="AR7" s="44">
        <f t="shared" si="0"/>
        <v>609</v>
      </c>
      <c r="AS7" s="90"/>
    </row>
    <row r="8" spans="1:45" x14ac:dyDescent="0.25">
      <c r="A8" s="5" t="s">
        <v>7</v>
      </c>
      <c r="B8" s="44">
        <v>111</v>
      </c>
      <c r="C8" s="92">
        <v>4</v>
      </c>
      <c r="H8" s="44">
        <v>111</v>
      </c>
      <c r="I8" s="92">
        <v>4</v>
      </c>
      <c r="N8" s="45">
        <v>111</v>
      </c>
      <c r="O8" s="92">
        <v>4</v>
      </c>
      <c r="P8" s="166"/>
      <c r="T8" s="44">
        <v>82</v>
      </c>
      <c r="U8" s="92">
        <v>3</v>
      </c>
      <c r="V8" s="166"/>
      <c r="Z8" s="44">
        <f t="shared" si="1"/>
        <v>83</v>
      </c>
      <c r="AA8" s="92">
        <v>3</v>
      </c>
      <c r="AB8" s="166"/>
      <c r="AF8" s="44">
        <v>111</v>
      </c>
      <c r="AG8" s="92">
        <v>4</v>
      </c>
      <c r="AH8" s="166"/>
      <c r="AL8" s="44"/>
      <c r="AM8" s="90"/>
      <c r="AR8" s="44">
        <f t="shared" si="0"/>
        <v>609</v>
      </c>
      <c r="AS8" s="90"/>
    </row>
    <row r="9" spans="1:45" x14ac:dyDescent="0.25">
      <c r="A9" s="5" t="s">
        <v>8</v>
      </c>
      <c r="B9" s="44">
        <v>110</v>
      </c>
      <c r="C9" s="92">
        <v>4</v>
      </c>
      <c r="H9" s="44">
        <v>110</v>
      </c>
      <c r="I9" s="92">
        <v>4</v>
      </c>
      <c r="N9" s="45">
        <f>28*5</f>
        <v>140</v>
      </c>
      <c r="O9" s="92">
        <v>5</v>
      </c>
      <c r="P9" s="166"/>
      <c r="T9" s="44">
        <f>28*4-2</f>
        <v>110</v>
      </c>
      <c r="U9" s="92">
        <v>4</v>
      </c>
      <c r="V9" s="166"/>
      <c r="Z9" s="44">
        <f t="shared" si="1"/>
        <v>83</v>
      </c>
      <c r="AA9" s="92">
        <v>3</v>
      </c>
      <c r="AB9" s="166"/>
      <c r="AF9" s="44">
        <v>111</v>
      </c>
      <c r="AG9" s="92">
        <v>4</v>
      </c>
      <c r="AH9" s="166"/>
      <c r="AL9" s="44"/>
      <c r="AM9" s="90"/>
      <c r="AR9" s="44">
        <f t="shared" si="0"/>
        <v>664</v>
      </c>
      <c r="AS9" s="90"/>
    </row>
    <row r="10" spans="1:45" x14ac:dyDescent="0.25">
      <c r="A10" s="5" t="s">
        <v>9</v>
      </c>
      <c r="B10" s="44">
        <v>124</v>
      </c>
      <c r="C10" s="92">
        <v>4</v>
      </c>
      <c r="H10" s="44">
        <v>124</v>
      </c>
      <c r="I10" s="92">
        <v>4</v>
      </c>
      <c r="N10" s="45">
        <f>32*5</f>
        <v>160</v>
      </c>
      <c r="O10" s="92">
        <v>5</v>
      </c>
      <c r="P10" s="166"/>
      <c r="T10" s="44">
        <v>0</v>
      </c>
      <c r="U10" s="92"/>
      <c r="Z10" s="44">
        <f>31*5</f>
        <v>155</v>
      </c>
      <c r="AA10" s="92">
        <v>5</v>
      </c>
      <c r="AF10" s="44">
        <v>124</v>
      </c>
      <c r="AG10" s="92">
        <v>4</v>
      </c>
      <c r="AL10" s="44"/>
      <c r="AM10" s="90"/>
      <c r="AR10" s="44">
        <f t="shared" si="0"/>
        <v>687</v>
      </c>
      <c r="AS10" s="90"/>
    </row>
    <row r="11" spans="1:45" x14ac:dyDescent="0.25">
      <c r="A11" s="5" t="s">
        <v>10</v>
      </c>
      <c r="B11" s="44">
        <v>124</v>
      </c>
      <c r="C11" s="92">
        <v>4</v>
      </c>
      <c r="H11" s="44">
        <v>124</v>
      </c>
      <c r="I11" s="92">
        <v>4</v>
      </c>
      <c r="N11" s="45">
        <f>32*5</f>
        <v>160</v>
      </c>
      <c r="O11" s="92">
        <v>5</v>
      </c>
      <c r="P11" s="166"/>
      <c r="T11" s="44">
        <v>0</v>
      </c>
      <c r="U11" s="92"/>
      <c r="Z11" s="44">
        <v>155</v>
      </c>
      <c r="AA11" s="92">
        <v>5</v>
      </c>
      <c r="AF11" s="44">
        <v>124</v>
      </c>
      <c r="AG11" s="92">
        <v>4</v>
      </c>
      <c r="AL11" s="44"/>
      <c r="AM11" s="90"/>
      <c r="AR11" s="44">
        <f t="shared" si="0"/>
        <v>687</v>
      </c>
      <c r="AS11" s="90"/>
    </row>
    <row r="12" spans="1:45" x14ac:dyDescent="0.25">
      <c r="A12" s="5" t="s">
        <v>11</v>
      </c>
      <c r="B12" s="44">
        <v>122</v>
      </c>
      <c r="C12" s="92">
        <v>4</v>
      </c>
      <c r="H12" s="44">
        <v>122</v>
      </c>
      <c r="I12" s="92">
        <v>4</v>
      </c>
      <c r="N12" s="45">
        <f>32*5</f>
        <v>160</v>
      </c>
      <c r="O12" s="92">
        <v>5</v>
      </c>
      <c r="P12" s="166"/>
      <c r="T12" s="44">
        <v>0</v>
      </c>
      <c r="U12" s="92"/>
      <c r="Z12" s="44">
        <v>155</v>
      </c>
      <c r="AA12" s="92">
        <v>5</v>
      </c>
      <c r="AF12" s="44">
        <v>124</v>
      </c>
      <c r="AG12" s="92">
        <v>4</v>
      </c>
      <c r="AL12" s="44"/>
      <c r="AM12" s="90"/>
      <c r="AR12" s="44">
        <f t="shared" si="0"/>
        <v>683</v>
      </c>
      <c r="AS12" s="90"/>
    </row>
    <row r="13" spans="1:45" x14ac:dyDescent="0.25">
      <c r="A13" s="5" t="s">
        <v>12</v>
      </c>
      <c r="B13" s="45">
        <v>0</v>
      </c>
      <c r="C13" s="92"/>
      <c r="H13" s="45">
        <v>0</v>
      </c>
      <c r="I13" s="92"/>
      <c r="N13" s="45">
        <f>32*11+3</f>
        <v>355</v>
      </c>
      <c r="O13" s="92">
        <v>11</v>
      </c>
      <c r="P13" s="166"/>
      <c r="T13" s="45">
        <v>0</v>
      </c>
      <c r="U13" s="92"/>
      <c r="Z13" s="45">
        <v>155</v>
      </c>
      <c r="AA13" s="92">
        <v>5</v>
      </c>
      <c r="AF13" s="45">
        <v>0</v>
      </c>
      <c r="AG13" s="92"/>
      <c r="AL13" s="45"/>
      <c r="AM13" s="90"/>
      <c r="AR13" s="44">
        <f t="shared" si="0"/>
        <v>510</v>
      </c>
      <c r="AS13" s="90"/>
    </row>
    <row r="14" spans="1:45" x14ac:dyDescent="0.25">
      <c r="A14" s="5" t="s">
        <v>13</v>
      </c>
      <c r="B14" s="45">
        <v>0</v>
      </c>
      <c r="C14" s="92"/>
      <c r="H14" s="45">
        <v>0</v>
      </c>
      <c r="I14" s="92"/>
      <c r="N14" s="45">
        <v>345</v>
      </c>
      <c r="O14" s="92">
        <v>11</v>
      </c>
      <c r="P14" s="166"/>
      <c r="T14" s="45">
        <v>0</v>
      </c>
      <c r="U14" s="92"/>
      <c r="Z14" s="45">
        <v>155</v>
      </c>
      <c r="AA14" s="92">
        <v>5</v>
      </c>
      <c r="AF14" s="45">
        <v>0</v>
      </c>
      <c r="AG14" s="92"/>
      <c r="AL14" s="45">
        <v>0</v>
      </c>
      <c r="AM14" s="90"/>
      <c r="AR14" s="44">
        <f t="shared" si="0"/>
        <v>500</v>
      </c>
      <c r="AS14" s="90"/>
    </row>
    <row r="15" spans="1:45" x14ac:dyDescent="0.25">
      <c r="A15" s="5" t="s">
        <v>14</v>
      </c>
      <c r="B15" s="45">
        <v>0</v>
      </c>
      <c r="C15" s="92"/>
      <c r="H15" s="45">
        <v>0</v>
      </c>
      <c r="I15" s="92"/>
      <c r="N15" s="45">
        <v>333</v>
      </c>
      <c r="O15" s="92">
        <v>11</v>
      </c>
      <c r="P15" s="166"/>
      <c r="T15" s="45">
        <v>0</v>
      </c>
      <c r="U15" s="92"/>
      <c r="Z15" s="45">
        <v>93</v>
      </c>
      <c r="AA15" s="92">
        <v>3</v>
      </c>
      <c r="AF15" s="45">
        <v>0</v>
      </c>
      <c r="AG15" s="92"/>
      <c r="AL15" s="45">
        <v>0</v>
      </c>
      <c r="AM15" s="90"/>
      <c r="AR15" s="44">
        <f t="shared" si="0"/>
        <v>426</v>
      </c>
      <c r="AS15" s="90"/>
    </row>
    <row r="16" spans="1:45" x14ac:dyDescent="0.25">
      <c r="A16" s="5" t="s">
        <v>15</v>
      </c>
      <c r="B16" s="45">
        <v>0</v>
      </c>
      <c r="C16" s="92"/>
      <c r="H16" s="45">
        <v>0</v>
      </c>
      <c r="I16" s="92"/>
      <c r="N16" s="45">
        <v>310</v>
      </c>
      <c r="O16" s="92">
        <v>11</v>
      </c>
      <c r="P16" s="166"/>
      <c r="T16" s="45">
        <v>0</v>
      </c>
      <c r="U16" s="92"/>
      <c r="Z16" s="45">
        <v>0</v>
      </c>
      <c r="AA16" s="92"/>
      <c r="AF16" s="45">
        <v>0</v>
      </c>
      <c r="AG16" s="92"/>
      <c r="AL16" s="45">
        <v>0</v>
      </c>
      <c r="AM16" s="90"/>
      <c r="AR16" s="44">
        <f t="shared" si="0"/>
        <v>310</v>
      </c>
      <c r="AS16" s="90"/>
    </row>
    <row r="17" spans="1:48" x14ac:dyDescent="0.25">
      <c r="A17" s="6" t="s">
        <v>2</v>
      </c>
      <c r="B17" s="43">
        <f>SUM(B4:B16)</f>
        <v>1028</v>
      </c>
      <c r="C17" s="92">
        <f>SUM(C4:C16)</f>
        <v>36</v>
      </c>
      <c r="H17" s="43">
        <f>SUM(H4:H16)</f>
        <v>1028</v>
      </c>
      <c r="I17" s="92">
        <f>SUM(I4:I16)</f>
        <v>36</v>
      </c>
      <c r="N17" s="43">
        <f>SUM(N4:N16)</f>
        <v>2511</v>
      </c>
      <c r="O17" s="92">
        <f>SUM(O4:O16)</f>
        <v>84</v>
      </c>
      <c r="P17" s="166"/>
      <c r="T17" s="43">
        <f>SUM(T4:T16)</f>
        <v>540</v>
      </c>
      <c r="U17" s="92">
        <f>SUM(U4:U16)</f>
        <v>20</v>
      </c>
      <c r="Z17" s="43">
        <f>SUM(Z4:Z16)</f>
        <v>1361</v>
      </c>
      <c r="AA17" s="92">
        <f>SUM(AA4:AA16)</f>
        <v>46</v>
      </c>
      <c r="AF17" s="43">
        <f>SUM(AF4:AF16)</f>
        <v>1027</v>
      </c>
      <c r="AG17" s="92">
        <f>SUM(AG4:AG16)</f>
        <v>36</v>
      </c>
      <c r="AH17" s="151"/>
      <c r="AL17" s="43">
        <f>SUM(AL4:AL16)</f>
        <v>0</v>
      </c>
      <c r="AM17" s="90"/>
      <c r="AR17" s="43">
        <f>SUM(AR4:AR16)</f>
        <v>7495</v>
      </c>
      <c r="AS17" s="90"/>
    </row>
    <row r="18" spans="1:48" x14ac:dyDescent="0.25">
      <c r="AH18" s="151"/>
    </row>
    <row r="20" spans="1:48" x14ac:dyDescent="0.25">
      <c r="A20" s="8" t="s">
        <v>16</v>
      </c>
      <c r="B20" s="46" t="s">
        <v>157</v>
      </c>
      <c r="C20" s="46" t="s">
        <v>158</v>
      </c>
      <c r="D20" s="46" t="s">
        <v>159</v>
      </c>
      <c r="E20" s="46" t="s">
        <v>160</v>
      </c>
      <c r="F20" s="46" t="s">
        <v>319</v>
      </c>
      <c r="H20" s="46" t="s">
        <v>157</v>
      </c>
      <c r="I20" s="46" t="s">
        <v>158</v>
      </c>
      <c r="J20" s="46" t="s">
        <v>159</v>
      </c>
      <c r="K20" s="46" t="s">
        <v>160</v>
      </c>
      <c r="L20" s="46" t="s">
        <v>316</v>
      </c>
      <c r="N20" s="46" t="s">
        <v>157</v>
      </c>
      <c r="O20" s="46" t="s">
        <v>158</v>
      </c>
      <c r="P20" s="46" t="s">
        <v>159</v>
      </c>
      <c r="Q20" s="46" t="s">
        <v>160</v>
      </c>
      <c r="R20" s="46" t="s">
        <v>314</v>
      </c>
      <c r="T20" s="46" t="s">
        <v>157</v>
      </c>
      <c r="U20" s="46" t="s">
        <v>158</v>
      </c>
      <c r="V20" s="46" t="s">
        <v>159</v>
      </c>
      <c r="W20" s="46" t="s">
        <v>160</v>
      </c>
      <c r="X20" s="46" t="s">
        <v>313</v>
      </c>
      <c r="Y20" s="195"/>
      <c r="Z20" s="46" t="s">
        <v>157</v>
      </c>
      <c r="AA20" s="46" t="s">
        <v>158</v>
      </c>
      <c r="AB20" s="46" t="s">
        <v>159</v>
      </c>
      <c r="AC20" s="46" t="s">
        <v>160</v>
      </c>
      <c r="AD20" s="46" t="s">
        <v>341</v>
      </c>
      <c r="AE20" s="195"/>
      <c r="AF20" s="46" t="s">
        <v>157</v>
      </c>
      <c r="AG20" s="46" t="s">
        <v>158</v>
      </c>
      <c r="AH20" s="46" t="s">
        <v>159</v>
      </c>
      <c r="AI20" s="46" t="s">
        <v>160</v>
      </c>
      <c r="AJ20" s="46" t="s">
        <v>310</v>
      </c>
      <c r="AL20" s="46" t="s">
        <v>157</v>
      </c>
      <c r="AM20" s="46" t="s">
        <v>158</v>
      </c>
      <c r="AN20" s="46" t="s">
        <v>159</v>
      </c>
      <c r="AO20" s="46" t="s">
        <v>280</v>
      </c>
      <c r="AP20" s="46" t="s">
        <v>309</v>
      </c>
      <c r="AR20" s="46" t="s">
        <v>157</v>
      </c>
      <c r="AS20" s="46" t="s">
        <v>158</v>
      </c>
      <c r="AT20" s="46" t="s">
        <v>159</v>
      </c>
      <c r="AU20" s="46" t="s">
        <v>160</v>
      </c>
      <c r="AV20" s="46" t="s">
        <v>306</v>
      </c>
    </row>
    <row r="21" spans="1:48" x14ac:dyDescent="0.25">
      <c r="A21" s="5" t="s">
        <v>17</v>
      </c>
      <c r="B21" s="45"/>
      <c r="C21" s="45">
        <v>105</v>
      </c>
      <c r="D21" s="45"/>
      <c r="E21" s="45"/>
      <c r="F21" s="45">
        <f>SUM(B21:E21)</f>
        <v>105</v>
      </c>
      <c r="H21" s="45"/>
      <c r="I21" s="45">
        <v>105</v>
      </c>
      <c r="J21" s="45"/>
      <c r="K21" s="45"/>
      <c r="L21" s="45">
        <f>SUM(H21:K21)</f>
        <v>105</v>
      </c>
      <c r="N21" s="45"/>
      <c r="O21" s="45">
        <v>270</v>
      </c>
      <c r="P21" s="45"/>
      <c r="Q21" s="45"/>
      <c r="R21" s="45">
        <f>SUM(N21:Q21)</f>
        <v>270</v>
      </c>
      <c r="T21" s="45"/>
      <c r="U21" s="45">
        <v>60</v>
      </c>
      <c r="V21" s="45"/>
      <c r="W21" s="45"/>
      <c r="X21" s="45">
        <f>SUM(T21:W21)</f>
        <v>60</v>
      </c>
      <c r="Y21" s="196"/>
      <c r="Z21" s="45"/>
      <c r="AA21" s="45">
        <v>130</v>
      </c>
      <c r="AB21" s="45"/>
      <c r="AC21" s="45"/>
      <c r="AD21" s="45">
        <f>SUM(Z21:AC21)</f>
        <v>130</v>
      </c>
      <c r="AE21" s="196"/>
      <c r="AF21" s="45"/>
      <c r="AG21" s="45">
        <v>125</v>
      </c>
      <c r="AH21" s="45"/>
      <c r="AI21" s="45"/>
      <c r="AJ21" s="45">
        <f>SUM(AF21:AI21)</f>
        <v>125</v>
      </c>
      <c r="AL21" s="47"/>
      <c r="AM21" s="47"/>
      <c r="AN21" s="47"/>
      <c r="AO21" s="45"/>
      <c r="AP21" s="45">
        <f>SUM(AL21:AO21)</f>
        <v>0</v>
      </c>
      <c r="AR21" s="47">
        <f>B21+H21+N21+T21+AL21+AF21+Z21</f>
        <v>0</v>
      </c>
      <c r="AS21" s="47">
        <f t="shared" ref="AS21:AU24" si="2">C21+I21+O21+U21+AM21+AG21+AA21</f>
        <v>795</v>
      </c>
      <c r="AT21" s="47">
        <f t="shared" si="2"/>
        <v>0</v>
      </c>
      <c r="AU21" s="47">
        <f t="shared" si="2"/>
        <v>0</v>
      </c>
      <c r="AV21" s="45">
        <f>SUM(AR21:AU21)</f>
        <v>795</v>
      </c>
    </row>
    <row r="22" spans="1:48" x14ac:dyDescent="0.25">
      <c r="A22" s="5" t="s">
        <v>18</v>
      </c>
      <c r="B22" s="45">
        <v>360</v>
      </c>
      <c r="C22" s="45"/>
      <c r="D22" s="45"/>
      <c r="E22" s="45"/>
      <c r="F22" s="45">
        <f t="shared" ref="F22:F25" si="3">SUM(B22:E22)</f>
        <v>360</v>
      </c>
      <c r="H22" s="45">
        <v>360</v>
      </c>
      <c r="I22" s="45"/>
      <c r="J22" s="45"/>
      <c r="K22" s="45"/>
      <c r="L22" s="45">
        <f t="shared" ref="L22:L25" si="4">SUM(H22:K22)</f>
        <v>360</v>
      </c>
      <c r="N22" s="45">
        <v>740</v>
      </c>
      <c r="O22" s="45"/>
      <c r="P22" s="45"/>
      <c r="Q22" s="45"/>
      <c r="R22" s="45">
        <f t="shared" ref="R22:R25" si="5">SUM(N22:Q22)</f>
        <v>740</v>
      </c>
      <c r="T22" s="45">
        <v>80</v>
      </c>
      <c r="U22" s="45"/>
      <c r="V22" s="45"/>
      <c r="W22" s="45"/>
      <c r="X22" s="45">
        <f t="shared" ref="X22:X25" si="6">SUM(T22:W22)</f>
        <v>80</v>
      </c>
      <c r="Y22" s="196"/>
      <c r="Z22" s="45">
        <v>390</v>
      </c>
      <c r="AA22" s="45"/>
      <c r="AB22" s="45"/>
      <c r="AC22" s="45"/>
      <c r="AD22" s="45">
        <f t="shared" ref="AD22:AD25" si="7">SUM(Z22:AC22)</f>
        <v>390</v>
      </c>
      <c r="AE22" s="196"/>
      <c r="AF22" s="45">
        <v>330</v>
      </c>
      <c r="AG22" s="45"/>
      <c r="AH22" s="45"/>
      <c r="AI22" s="45"/>
      <c r="AJ22" s="45">
        <f t="shared" ref="AJ22:AJ25" si="8">SUM(AF22:AI22)</f>
        <v>330</v>
      </c>
      <c r="AL22" s="47"/>
      <c r="AM22" s="47"/>
      <c r="AN22" s="47"/>
      <c r="AO22" s="45"/>
      <c r="AP22" s="45">
        <f t="shared" ref="AP22:AP25" si="9">SUM(AL22:AO22)</f>
        <v>0</v>
      </c>
      <c r="AR22" s="47">
        <f t="shared" ref="AR22:AR24" si="10">B22+H22+N22+T22+AL22+AF22+Z22</f>
        <v>2260</v>
      </c>
      <c r="AS22" s="47">
        <f t="shared" si="2"/>
        <v>0</v>
      </c>
      <c r="AT22" s="47">
        <f t="shared" si="2"/>
        <v>0</v>
      </c>
      <c r="AU22" s="47">
        <f t="shared" si="2"/>
        <v>0</v>
      </c>
      <c r="AV22" s="45">
        <f t="shared" ref="AV22:AV25" si="11">SUM(AR22:AU22)</f>
        <v>2260</v>
      </c>
    </row>
    <row r="23" spans="1:48" x14ac:dyDescent="0.25">
      <c r="A23" s="5" t="s">
        <v>19</v>
      </c>
      <c r="B23" s="47">
        <v>0</v>
      </c>
      <c r="C23" s="47"/>
      <c r="D23" s="47"/>
      <c r="E23" s="47"/>
      <c r="F23" s="45">
        <f t="shared" si="3"/>
        <v>0</v>
      </c>
      <c r="H23" s="47">
        <v>0</v>
      </c>
      <c r="I23" s="47"/>
      <c r="J23" s="47"/>
      <c r="K23" s="47"/>
      <c r="L23" s="45">
        <f t="shared" si="4"/>
        <v>0</v>
      </c>
      <c r="N23" s="47">
        <v>0</v>
      </c>
      <c r="O23" s="47"/>
      <c r="P23" s="47"/>
      <c r="Q23" s="47"/>
      <c r="R23" s="45">
        <f t="shared" si="5"/>
        <v>0</v>
      </c>
      <c r="T23" s="47">
        <v>0</v>
      </c>
      <c r="U23" s="47"/>
      <c r="V23" s="47"/>
      <c r="W23" s="47"/>
      <c r="X23" s="45">
        <f t="shared" si="6"/>
        <v>0</v>
      </c>
      <c r="Y23" s="196"/>
      <c r="Z23" s="47">
        <v>0</v>
      </c>
      <c r="AA23" s="47"/>
      <c r="AB23" s="47"/>
      <c r="AC23" s="47"/>
      <c r="AD23" s="45">
        <f t="shared" si="7"/>
        <v>0</v>
      </c>
      <c r="AE23" s="196"/>
      <c r="AF23" s="47">
        <v>0</v>
      </c>
      <c r="AG23" s="47"/>
      <c r="AH23" s="47"/>
      <c r="AI23" s="47"/>
      <c r="AJ23" s="45">
        <f t="shared" si="8"/>
        <v>0</v>
      </c>
      <c r="AL23" s="47"/>
      <c r="AM23" s="47"/>
      <c r="AN23" s="47"/>
      <c r="AO23" s="47"/>
      <c r="AP23" s="45">
        <f t="shared" si="9"/>
        <v>0</v>
      </c>
      <c r="AR23" s="47">
        <f t="shared" si="10"/>
        <v>0</v>
      </c>
      <c r="AS23" s="47">
        <f t="shared" si="2"/>
        <v>0</v>
      </c>
      <c r="AT23" s="47">
        <f t="shared" si="2"/>
        <v>0</v>
      </c>
      <c r="AU23" s="47">
        <f t="shared" si="2"/>
        <v>0</v>
      </c>
      <c r="AV23" s="45">
        <f t="shared" si="11"/>
        <v>0</v>
      </c>
    </row>
    <row r="24" spans="1:48" x14ac:dyDescent="0.25">
      <c r="A24" s="5" t="s">
        <v>20</v>
      </c>
      <c r="B24" s="47">
        <v>0</v>
      </c>
      <c r="C24" s="47"/>
      <c r="D24" s="47"/>
      <c r="E24" s="47"/>
      <c r="F24" s="45">
        <f t="shared" si="3"/>
        <v>0</v>
      </c>
      <c r="H24" s="47">
        <v>0</v>
      </c>
      <c r="I24" s="47"/>
      <c r="J24" s="47"/>
      <c r="K24" s="47"/>
      <c r="L24" s="45">
        <f t="shared" si="4"/>
        <v>0</v>
      </c>
      <c r="N24" s="47">
        <v>5</v>
      </c>
      <c r="O24" s="47"/>
      <c r="P24" s="47"/>
      <c r="Q24" s="47"/>
      <c r="R24" s="45">
        <f t="shared" si="5"/>
        <v>5</v>
      </c>
      <c r="T24" s="47">
        <v>0</v>
      </c>
      <c r="U24" s="47"/>
      <c r="V24" s="47"/>
      <c r="W24" s="47"/>
      <c r="X24" s="45">
        <f t="shared" si="6"/>
        <v>0</v>
      </c>
      <c r="Y24" s="196"/>
      <c r="Z24" s="47">
        <v>0</v>
      </c>
      <c r="AA24" s="47"/>
      <c r="AB24" s="47"/>
      <c r="AC24" s="47"/>
      <c r="AD24" s="45">
        <f t="shared" si="7"/>
        <v>0</v>
      </c>
      <c r="AE24" s="196"/>
      <c r="AF24" s="47">
        <v>0</v>
      </c>
      <c r="AG24" s="47"/>
      <c r="AH24" s="47"/>
      <c r="AI24" s="47"/>
      <c r="AJ24" s="45">
        <f t="shared" si="8"/>
        <v>0</v>
      </c>
      <c r="AL24" s="47"/>
      <c r="AM24" s="47"/>
      <c r="AN24" s="47"/>
      <c r="AO24" s="47"/>
      <c r="AP24" s="45">
        <f t="shared" si="9"/>
        <v>0</v>
      </c>
      <c r="AR24" s="47">
        <f t="shared" si="10"/>
        <v>5</v>
      </c>
      <c r="AS24" s="47">
        <f t="shared" si="2"/>
        <v>0</v>
      </c>
      <c r="AT24" s="47">
        <f t="shared" si="2"/>
        <v>0</v>
      </c>
      <c r="AU24" s="47">
        <f t="shared" si="2"/>
        <v>0</v>
      </c>
      <c r="AV24" s="45">
        <f t="shared" si="11"/>
        <v>5</v>
      </c>
    </row>
    <row r="25" spans="1:48" x14ac:dyDescent="0.25">
      <c r="A25" s="5" t="s">
        <v>21</v>
      </c>
      <c r="B25" s="48"/>
      <c r="C25" s="48"/>
      <c r="D25" s="49">
        <v>1</v>
      </c>
      <c r="E25" s="49"/>
      <c r="F25" s="45">
        <f t="shared" si="3"/>
        <v>1</v>
      </c>
      <c r="H25" s="48"/>
      <c r="I25" s="48"/>
      <c r="J25" s="49">
        <v>1</v>
      </c>
      <c r="K25" s="49"/>
      <c r="L25" s="45">
        <f t="shared" si="4"/>
        <v>1</v>
      </c>
      <c r="N25" s="48"/>
      <c r="O25" s="48"/>
      <c r="P25" s="49">
        <v>1</v>
      </c>
      <c r="Q25" s="49"/>
      <c r="R25" s="45">
        <f t="shared" si="5"/>
        <v>1</v>
      </c>
      <c r="T25" s="48"/>
      <c r="U25" s="48"/>
      <c r="V25" s="49">
        <v>1</v>
      </c>
      <c r="W25" s="49"/>
      <c r="X25" s="45">
        <f t="shared" si="6"/>
        <v>1</v>
      </c>
      <c r="Y25" s="196"/>
      <c r="Z25" s="48"/>
      <c r="AA25" s="48"/>
      <c r="AB25" s="49">
        <v>1</v>
      </c>
      <c r="AC25" s="49"/>
      <c r="AD25" s="45">
        <f t="shared" si="7"/>
        <v>1</v>
      </c>
      <c r="AE25" s="196"/>
      <c r="AF25" s="48"/>
      <c r="AG25" s="48"/>
      <c r="AH25" s="49">
        <v>1</v>
      </c>
      <c r="AI25" s="49"/>
      <c r="AJ25" s="45">
        <f t="shared" si="8"/>
        <v>1</v>
      </c>
      <c r="AL25" s="48"/>
      <c r="AM25" s="48"/>
      <c r="AN25" s="49"/>
      <c r="AO25" s="49"/>
      <c r="AP25" s="45">
        <f t="shared" si="9"/>
        <v>0</v>
      </c>
      <c r="AR25" s="47">
        <f t="shared" ref="AR25" si="12">B25+H25+N25+T25+AL25+AF25</f>
        <v>0</v>
      </c>
      <c r="AS25" s="47">
        <f>C25+I25+O25+U25+AM25+AG25</f>
        <v>0</v>
      </c>
      <c r="AT25" s="48">
        <v>1</v>
      </c>
      <c r="AU25" s="47">
        <f>E25+K25+Q25+W25+AO25+AI25</f>
        <v>0</v>
      </c>
      <c r="AV25" s="45">
        <f t="shared" si="11"/>
        <v>1</v>
      </c>
    </row>
    <row r="26" spans="1:48" x14ac:dyDescent="0.25">
      <c r="A26" s="9" t="s">
        <v>22</v>
      </c>
      <c r="B26" s="46" t="s">
        <v>157</v>
      </c>
      <c r="C26" s="46" t="s">
        <v>158</v>
      </c>
      <c r="D26" s="46" t="s">
        <v>159</v>
      </c>
      <c r="E26" s="46" t="str">
        <f>E20</f>
        <v>Other</v>
      </c>
      <c r="F26" s="46" t="str">
        <f>F20</f>
        <v>FY31- Mtn</v>
      </c>
      <c r="H26" s="46" t="s">
        <v>157</v>
      </c>
      <c r="I26" s="46" t="s">
        <v>158</v>
      </c>
      <c r="J26" s="46" t="s">
        <v>159</v>
      </c>
      <c r="K26" s="46" t="str">
        <f>K20</f>
        <v>Other</v>
      </c>
      <c r="L26" s="46" t="str">
        <f>L20</f>
        <v>FY31- Bon</v>
      </c>
      <c r="N26" s="46" t="s">
        <v>157</v>
      </c>
      <c r="O26" s="46" t="s">
        <v>158</v>
      </c>
      <c r="P26" s="46" t="s">
        <v>159</v>
      </c>
      <c r="Q26" s="46" t="str">
        <f>Q20</f>
        <v>Other</v>
      </c>
      <c r="R26" s="46" t="str">
        <f>R20</f>
        <v>FY31- East</v>
      </c>
      <c r="T26" s="46" t="s">
        <v>157</v>
      </c>
      <c r="U26" s="46" t="s">
        <v>158</v>
      </c>
      <c r="V26" s="46" t="s">
        <v>159</v>
      </c>
      <c r="W26" s="46" t="str">
        <f>W20</f>
        <v>Other</v>
      </c>
      <c r="X26" s="46" t="str">
        <f>X20</f>
        <v>FY31- Cactus</v>
      </c>
      <c r="Y26" s="195"/>
      <c r="Z26" s="46" t="s">
        <v>157</v>
      </c>
      <c r="AA26" s="46" t="s">
        <v>158</v>
      </c>
      <c r="AB26" s="46" t="s">
        <v>159</v>
      </c>
      <c r="AC26" s="46" t="str">
        <f>AC20</f>
        <v>Other</v>
      </c>
      <c r="AD26" s="46" t="str">
        <f>AD20</f>
        <v>FY31- Sahara</v>
      </c>
      <c r="AE26" s="195"/>
      <c r="AF26" s="46" t="s">
        <v>157</v>
      </c>
      <c r="AG26" s="46" t="s">
        <v>158</v>
      </c>
      <c r="AH26" s="46" t="s">
        <v>159</v>
      </c>
      <c r="AI26" s="46" t="str">
        <f>AI20</f>
        <v>Other</v>
      </c>
      <c r="AJ26" s="46" t="str">
        <f>AJ20</f>
        <v>FY31- VV</v>
      </c>
      <c r="AL26" s="46" t="s">
        <v>157</v>
      </c>
      <c r="AM26" s="46" t="s">
        <v>158</v>
      </c>
      <c r="AN26" s="46" t="s">
        <v>159</v>
      </c>
      <c r="AO26" s="46" t="str">
        <f>AO20</f>
        <v>Grant</v>
      </c>
      <c r="AP26" s="46" t="str">
        <f>AP20</f>
        <v>FY31 - Central</v>
      </c>
      <c r="AR26" s="46" t="s">
        <v>157</v>
      </c>
      <c r="AS26" s="46" t="s">
        <v>158</v>
      </c>
      <c r="AT26" s="46" t="s">
        <v>159</v>
      </c>
      <c r="AU26" s="46" t="str">
        <f>AU20</f>
        <v>Other</v>
      </c>
      <c r="AV26" s="46" t="str">
        <f>AV20</f>
        <v>FY31- Sys</v>
      </c>
    </row>
    <row r="27" spans="1:48" x14ac:dyDescent="0.25">
      <c r="A27" s="10" t="s">
        <v>23</v>
      </c>
      <c r="B27" s="50">
        <v>36</v>
      </c>
      <c r="C27" s="50"/>
      <c r="D27" s="50"/>
      <c r="E27" s="50"/>
      <c r="F27" s="50">
        <f>SUM(B27:E27)</f>
        <v>36</v>
      </c>
      <c r="H27" s="50">
        <v>36</v>
      </c>
      <c r="I27" s="50"/>
      <c r="J27" s="50"/>
      <c r="K27" s="50"/>
      <c r="L27" s="50">
        <f>SUM(H27:K27)</f>
        <v>36</v>
      </c>
      <c r="N27" s="51">
        <v>84</v>
      </c>
      <c r="O27" s="50"/>
      <c r="P27" s="50"/>
      <c r="Q27" s="50"/>
      <c r="R27" s="50">
        <f>SUM(N27:Q27)</f>
        <v>84</v>
      </c>
      <c r="T27" s="50">
        <v>20</v>
      </c>
      <c r="U27" s="50"/>
      <c r="V27" s="50"/>
      <c r="W27" s="50"/>
      <c r="X27" s="50">
        <f>SUM(T27:W27)</f>
        <v>20</v>
      </c>
      <c r="Y27" s="193"/>
      <c r="Z27" s="50">
        <v>46</v>
      </c>
      <c r="AA27" s="50"/>
      <c r="AB27" s="50"/>
      <c r="AC27" s="50"/>
      <c r="AD27" s="50">
        <f>SUM(Z27:AC27)</f>
        <v>46</v>
      </c>
      <c r="AE27" s="193"/>
      <c r="AF27" s="50">
        <v>36</v>
      </c>
      <c r="AG27" s="50"/>
      <c r="AH27" s="50"/>
      <c r="AI27" s="50"/>
      <c r="AJ27" s="50">
        <f>SUM(AF27:AI27)</f>
        <v>36</v>
      </c>
      <c r="AK27" s="151">
        <f>AJ27/6</f>
        <v>6</v>
      </c>
      <c r="AL27" s="50"/>
      <c r="AM27" s="50"/>
      <c r="AN27" s="50"/>
      <c r="AO27" s="50"/>
      <c r="AP27" s="50">
        <f>SUM(AL27:AO27)</f>
        <v>0</v>
      </c>
      <c r="AR27" s="50">
        <f>B27+H27+N27+T27+AL27+AF27+Z27</f>
        <v>258</v>
      </c>
      <c r="AS27" s="50">
        <f t="shared" ref="AS27:AU35" si="13">C27+I27+O27+U27+AM27+AG27+AA27</f>
        <v>0</v>
      </c>
      <c r="AT27" s="50">
        <f t="shared" si="13"/>
        <v>0</v>
      </c>
      <c r="AU27" s="50">
        <f t="shared" si="13"/>
        <v>0</v>
      </c>
      <c r="AV27" s="50">
        <f>SUM(AR27:AU27)</f>
        <v>258</v>
      </c>
    </row>
    <row r="28" spans="1:48" x14ac:dyDescent="0.25">
      <c r="A28" s="10" t="s">
        <v>24</v>
      </c>
      <c r="B28" s="51">
        <v>0</v>
      </c>
      <c r="C28" s="51">
        <v>5</v>
      </c>
      <c r="D28" s="51"/>
      <c r="E28" s="51"/>
      <c r="F28" s="50">
        <f t="shared" ref="F28:F35" si="14">SUM(B28:E28)</f>
        <v>5</v>
      </c>
      <c r="H28" s="51">
        <v>0</v>
      </c>
      <c r="I28" s="51">
        <v>4</v>
      </c>
      <c r="J28" s="51"/>
      <c r="K28" s="51"/>
      <c r="L28" s="50">
        <f t="shared" ref="L28:L35" si="15">SUM(H28:K28)</f>
        <v>4</v>
      </c>
      <c r="N28" s="51">
        <v>0</v>
      </c>
      <c r="O28" s="51">
        <v>14</v>
      </c>
      <c r="P28" s="51"/>
      <c r="Q28" s="51"/>
      <c r="R28" s="50">
        <f t="shared" ref="R28:R35" si="16">SUM(N28:Q28)</f>
        <v>14</v>
      </c>
      <c r="T28" s="51">
        <v>0</v>
      </c>
      <c r="U28" s="51">
        <v>3</v>
      </c>
      <c r="V28" s="51"/>
      <c r="W28" s="51"/>
      <c r="X28" s="50">
        <f t="shared" ref="X28:X35" si="17">SUM(T28:W28)</f>
        <v>3</v>
      </c>
      <c r="Y28" s="193"/>
      <c r="Z28" s="51">
        <v>0</v>
      </c>
      <c r="AA28" s="51">
        <v>7</v>
      </c>
      <c r="AB28" s="51"/>
      <c r="AC28" s="51"/>
      <c r="AD28" s="50">
        <f t="shared" ref="AD28:AD35" si="18">SUM(Z28:AC28)</f>
        <v>7</v>
      </c>
      <c r="AE28" s="193"/>
      <c r="AF28" s="51">
        <v>0</v>
      </c>
      <c r="AG28" s="51">
        <v>5</v>
      </c>
      <c r="AH28" s="51"/>
      <c r="AI28" s="51"/>
      <c r="AJ28" s="50">
        <f t="shared" ref="AJ28:AJ35" si="19">SUM(AF28:AI28)</f>
        <v>5</v>
      </c>
      <c r="AL28" s="51"/>
      <c r="AM28" s="51"/>
      <c r="AN28" s="51"/>
      <c r="AO28" s="51"/>
      <c r="AP28" s="50">
        <f t="shared" ref="AP28:AP35" si="20">SUM(AL28:AO28)</f>
        <v>0</v>
      </c>
      <c r="AR28" s="50">
        <f t="shared" ref="AR28:AR35" si="21">B28+H28+N28+T28+AL28+AF28+Z28</f>
        <v>0</v>
      </c>
      <c r="AS28" s="50">
        <f t="shared" si="13"/>
        <v>38</v>
      </c>
      <c r="AT28" s="50">
        <f t="shared" si="13"/>
        <v>0</v>
      </c>
      <c r="AU28" s="50">
        <f t="shared" si="13"/>
        <v>0</v>
      </c>
      <c r="AV28" s="50">
        <f t="shared" ref="AV28:AV35" si="22">SUM(AR28:AU28)</f>
        <v>38</v>
      </c>
    </row>
    <row r="29" spans="1:48" x14ac:dyDescent="0.25">
      <c r="A29" s="10" t="s">
        <v>25</v>
      </c>
      <c r="B29" s="50">
        <v>1</v>
      </c>
      <c r="C29" s="50"/>
      <c r="D29" s="50"/>
      <c r="E29" s="50"/>
      <c r="F29" s="50">
        <f t="shared" si="14"/>
        <v>1</v>
      </c>
      <c r="H29" s="50">
        <v>1</v>
      </c>
      <c r="I29" s="50"/>
      <c r="J29" s="50"/>
      <c r="K29" s="50"/>
      <c r="L29" s="50">
        <f t="shared" si="15"/>
        <v>1</v>
      </c>
      <c r="N29" s="50">
        <v>3</v>
      </c>
      <c r="O29" s="50"/>
      <c r="P29" s="50"/>
      <c r="Q29" s="50"/>
      <c r="R29" s="50">
        <f t="shared" si="16"/>
        <v>3</v>
      </c>
      <c r="T29" s="50">
        <v>1</v>
      </c>
      <c r="U29" s="50"/>
      <c r="V29" s="50"/>
      <c r="W29" s="50"/>
      <c r="X29" s="50">
        <f t="shared" si="17"/>
        <v>1</v>
      </c>
      <c r="Y29" s="193"/>
      <c r="Z29" s="50">
        <v>2</v>
      </c>
      <c r="AA29" s="50"/>
      <c r="AB29" s="50"/>
      <c r="AC29" s="50"/>
      <c r="AD29" s="50">
        <f t="shared" si="18"/>
        <v>2</v>
      </c>
      <c r="AE29" s="193"/>
      <c r="AF29" s="50">
        <v>1</v>
      </c>
      <c r="AG29" s="50"/>
      <c r="AH29" s="50"/>
      <c r="AI29" s="50"/>
      <c r="AJ29" s="50">
        <f t="shared" si="19"/>
        <v>1</v>
      </c>
      <c r="AL29" s="50"/>
      <c r="AM29" s="50"/>
      <c r="AN29" s="50"/>
      <c r="AO29" s="50"/>
      <c r="AP29" s="50">
        <f t="shared" si="20"/>
        <v>0</v>
      </c>
      <c r="AR29" s="50">
        <f t="shared" si="21"/>
        <v>9</v>
      </c>
      <c r="AS29" s="50">
        <f t="shared" si="13"/>
        <v>0</v>
      </c>
      <c r="AT29" s="50">
        <f t="shared" si="13"/>
        <v>0</v>
      </c>
      <c r="AU29" s="50">
        <f t="shared" si="13"/>
        <v>0</v>
      </c>
      <c r="AV29" s="50">
        <f t="shared" si="22"/>
        <v>9</v>
      </c>
    </row>
    <row r="30" spans="1:48" x14ac:dyDescent="0.25">
      <c r="A30" s="10" t="s">
        <v>26</v>
      </c>
      <c r="B30" s="50">
        <v>1</v>
      </c>
      <c r="C30" s="50"/>
      <c r="D30" s="50"/>
      <c r="E30" s="50"/>
      <c r="F30" s="50">
        <f t="shared" si="14"/>
        <v>1</v>
      </c>
      <c r="H30" s="50">
        <v>1</v>
      </c>
      <c r="I30" s="50"/>
      <c r="J30" s="50"/>
      <c r="K30" s="50"/>
      <c r="L30" s="50">
        <f t="shared" si="15"/>
        <v>1</v>
      </c>
      <c r="N30" s="50">
        <v>3</v>
      </c>
      <c r="O30" s="50"/>
      <c r="P30" s="50"/>
      <c r="Q30" s="50"/>
      <c r="R30" s="50">
        <f t="shared" si="16"/>
        <v>3</v>
      </c>
      <c r="T30" s="50">
        <v>1</v>
      </c>
      <c r="U30" s="50"/>
      <c r="V30" s="50"/>
      <c r="W30" s="50"/>
      <c r="X30" s="50">
        <f t="shared" si="17"/>
        <v>1</v>
      </c>
      <c r="Y30" s="193"/>
      <c r="Z30" s="50">
        <v>2</v>
      </c>
      <c r="AA30" s="50"/>
      <c r="AB30" s="50"/>
      <c r="AC30" s="50"/>
      <c r="AD30" s="50">
        <f t="shared" si="18"/>
        <v>2</v>
      </c>
      <c r="AE30" s="193"/>
      <c r="AF30" s="50">
        <v>1</v>
      </c>
      <c r="AG30" s="50"/>
      <c r="AH30" s="50"/>
      <c r="AI30" s="50"/>
      <c r="AJ30" s="50">
        <f t="shared" si="19"/>
        <v>1</v>
      </c>
      <c r="AL30" s="50"/>
      <c r="AM30" s="50"/>
      <c r="AN30" s="50"/>
      <c r="AO30" s="50"/>
      <c r="AP30" s="50">
        <f t="shared" si="20"/>
        <v>0</v>
      </c>
      <c r="AR30" s="50">
        <f t="shared" si="21"/>
        <v>9</v>
      </c>
      <c r="AS30" s="50">
        <f t="shared" si="13"/>
        <v>0</v>
      </c>
      <c r="AT30" s="50">
        <f t="shared" si="13"/>
        <v>0</v>
      </c>
      <c r="AU30" s="50">
        <f t="shared" si="13"/>
        <v>0</v>
      </c>
      <c r="AV30" s="50">
        <f t="shared" si="22"/>
        <v>9</v>
      </c>
    </row>
    <row r="31" spans="1:48" x14ac:dyDescent="0.25">
      <c r="A31" s="10" t="s">
        <v>27</v>
      </c>
      <c r="B31" s="50">
        <v>1</v>
      </c>
      <c r="C31" s="50"/>
      <c r="D31" s="50"/>
      <c r="E31" s="50"/>
      <c r="F31" s="50">
        <f t="shared" si="14"/>
        <v>1</v>
      </c>
      <c r="H31" s="50">
        <v>1</v>
      </c>
      <c r="I31" s="50"/>
      <c r="J31" s="50"/>
      <c r="K31" s="50"/>
      <c r="L31" s="50">
        <f t="shared" si="15"/>
        <v>1</v>
      </c>
      <c r="N31" s="50">
        <v>3</v>
      </c>
      <c r="O31" s="50"/>
      <c r="P31" s="50"/>
      <c r="Q31" s="50"/>
      <c r="R31" s="50">
        <f t="shared" si="16"/>
        <v>3</v>
      </c>
      <c r="T31" s="50">
        <v>1</v>
      </c>
      <c r="U31" s="50"/>
      <c r="V31" s="50"/>
      <c r="W31" s="50"/>
      <c r="X31" s="50">
        <f t="shared" si="17"/>
        <v>1</v>
      </c>
      <c r="Y31" s="193"/>
      <c r="Z31" s="50">
        <v>2</v>
      </c>
      <c r="AA31" s="50"/>
      <c r="AB31" s="50"/>
      <c r="AC31" s="50"/>
      <c r="AD31" s="50">
        <f t="shared" si="18"/>
        <v>2</v>
      </c>
      <c r="AE31" s="193"/>
      <c r="AF31" s="50">
        <v>2</v>
      </c>
      <c r="AG31" s="50"/>
      <c r="AH31" s="50"/>
      <c r="AI31" s="50"/>
      <c r="AJ31" s="50">
        <f t="shared" si="19"/>
        <v>2</v>
      </c>
      <c r="AL31" s="50"/>
      <c r="AM31" s="50"/>
      <c r="AN31" s="50"/>
      <c r="AO31" s="50"/>
      <c r="AP31" s="50">
        <f t="shared" si="20"/>
        <v>0</v>
      </c>
      <c r="AR31" s="50">
        <f t="shared" si="21"/>
        <v>10</v>
      </c>
      <c r="AS31" s="50">
        <f t="shared" si="13"/>
        <v>0</v>
      </c>
      <c r="AT31" s="50">
        <f t="shared" si="13"/>
        <v>0</v>
      </c>
      <c r="AU31" s="50">
        <f t="shared" si="13"/>
        <v>0</v>
      </c>
      <c r="AV31" s="50">
        <f t="shared" si="22"/>
        <v>10</v>
      </c>
    </row>
    <row r="32" spans="1:48" x14ac:dyDescent="0.25">
      <c r="A32" s="11" t="s">
        <v>28</v>
      </c>
      <c r="B32" s="50">
        <v>1</v>
      </c>
      <c r="C32" s="50"/>
      <c r="D32" s="50"/>
      <c r="E32" s="50"/>
      <c r="F32" s="50">
        <f t="shared" si="14"/>
        <v>1</v>
      </c>
      <c r="H32" s="50">
        <v>1</v>
      </c>
      <c r="I32" s="50"/>
      <c r="J32" s="50"/>
      <c r="K32" s="50"/>
      <c r="L32" s="50">
        <f t="shared" si="15"/>
        <v>1</v>
      </c>
      <c r="N32" s="50">
        <v>2</v>
      </c>
      <c r="O32" s="50"/>
      <c r="P32" s="50"/>
      <c r="Q32" s="50"/>
      <c r="R32" s="50">
        <f t="shared" si="16"/>
        <v>2</v>
      </c>
      <c r="T32" s="50">
        <v>0</v>
      </c>
      <c r="U32" s="50"/>
      <c r="V32" s="50"/>
      <c r="W32" s="50"/>
      <c r="X32" s="50">
        <f t="shared" si="17"/>
        <v>0</v>
      </c>
      <c r="Y32" s="193"/>
      <c r="Z32" s="50">
        <v>0</v>
      </c>
      <c r="AA32" s="50"/>
      <c r="AB32" s="50"/>
      <c r="AC32" s="50"/>
      <c r="AD32" s="50">
        <f t="shared" si="18"/>
        <v>0</v>
      </c>
      <c r="AE32" s="193"/>
      <c r="AF32" s="50">
        <v>0</v>
      </c>
      <c r="AG32" s="50"/>
      <c r="AH32" s="50"/>
      <c r="AI32" s="50"/>
      <c r="AJ32" s="50">
        <f t="shared" si="19"/>
        <v>0</v>
      </c>
      <c r="AL32" s="50"/>
      <c r="AM32" s="50"/>
      <c r="AN32" s="50"/>
      <c r="AO32" s="50"/>
      <c r="AP32" s="50">
        <f t="shared" si="20"/>
        <v>0</v>
      </c>
      <c r="AR32" s="50">
        <f t="shared" si="21"/>
        <v>4</v>
      </c>
      <c r="AS32" s="50">
        <f t="shared" si="13"/>
        <v>0</v>
      </c>
      <c r="AT32" s="50">
        <f t="shared" si="13"/>
        <v>0</v>
      </c>
      <c r="AU32" s="50">
        <f t="shared" si="13"/>
        <v>0</v>
      </c>
      <c r="AV32" s="50">
        <f t="shared" si="22"/>
        <v>4</v>
      </c>
    </row>
    <row r="33" spans="1:48" x14ac:dyDescent="0.25">
      <c r="A33" s="11" t="s">
        <v>29</v>
      </c>
      <c r="B33" s="50">
        <v>1</v>
      </c>
      <c r="C33" s="50"/>
      <c r="D33" s="50"/>
      <c r="E33" s="50"/>
      <c r="F33" s="50">
        <f t="shared" si="14"/>
        <v>1</v>
      </c>
      <c r="H33" s="50">
        <v>1</v>
      </c>
      <c r="I33" s="50"/>
      <c r="J33" s="50"/>
      <c r="K33" s="50"/>
      <c r="L33" s="50">
        <f t="shared" si="15"/>
        <v>1</v>
      </c>
      <c r="N33" s="50">
        <v>2</v>
      </c>
      <c r="O33" s="50"/>
      <c r="P33" s="50"/>
      <c r="Q33" s="50"/>
      <c r="R33" s="50">
        <f t="shared" si="16"/>
        <v>2</v>
      </c>
      <c r="T33" s="50">
        <v>0</v>
      </c>
      <c r="U33" s="50"/>
      <c r="V33" s="50"/>
      <c r="W33" s="50"/>
      <c r="X33" s="50">
        <f t="shared" si="17"/>
        <v>0</v>
      </c>
      <c r="Y33" s="193"/>
      <c r="Z33" s="50">
        <v>0</v>
      </c>
      <c r="AA33" s="50"/>
      <c r="AB33" s="50"/>
      <c r="AC33" s="50"/>
      <c r="AD33" s="50">
        <f t="shared" si="18"/>
        <v>0</v>
      </c>
      <c r="AE33" s="193"/>
      <c r="AF33" s="50">
        <v>0</v>
      </c>
      <c r="AG33" s="50"/>
      <c r="AH33" s="50"/>
      <c r="AI33" s="50"/>
      <c r="AJ33" s="50">
        <f t="shared" si="19"/>
        <v>0</v>
      </c>
      <c r="AL33" s="50"/>
      <c r="AM33" s="50"/>
      <c r="AN33" s="50"/>
      <c r="AO33" s="50"/>
      <c r="AP33" s="50">
        <f t="shared" si="20"/>
        <v>0</v>
      </c>
      <c r="AR33" s="50">
        <f t="shared" si="21"/>
        <v>4</v>
      </c>
      <c r="AS33" s="50">
        <f t="shared" si="13"/>
        <v>0</v>
      </c>
      <c r="AT33" s="50">
        <f t="shared" si="13"/>
        <v>0</v>
      </c>
      <c r="AU33" s="50">
        <f t="shared" si="13"/>
        <v>0</v>
      </c>
      <c r="AV33" s="50">
        <f t="shared" si="22"/>
        <v>4</v>
      </c>
    </row>
    <row r="34" spans="1:48" x14ac:dyDescent="0.25">
      <c r="A34" s="11" t="s">
        <v>30</v>
      </c>
      <c r="B34" s="50">
        <v>4</v>
      </c>
      <c r="C34" s="50"/>
      <c r="D34" s="50"/>
      <c r="E34" s="50"/>
      <c r="F34" s="50">
        <f t="shared" si="14"/>
        <v>4</v>
      </c>
      <c r="H34" s="50">
        <v>4</v>
      </c>
      <c r="I34" s="50"/>
      <c r="J34" s="50"/>
      <c r="K34" s="50"/>
      <c r="L34" s="50">
        <f t="shared" si="15"/>
        <v>4</v>
      </c>
      <c r="N34" s="51">
        <v>5</v>
      </c>
      <c r="O34" s="50"/>
      <c r="P34" s="50"/>
      <c r="Q34" s="50"/>
      <c r="R34" s="50">
        <f t="shared" si="16"/>
        <v>5</v>
      </c>
      <c r="T34" s="50">
        <v>0</v>
      </c>
      <c r="U34" s="50"/>
      <c r="V34" s="50"/>
      <c r="W34" s="50"/>
      <c r="X34" s="50">
        <f t="shared" si="17"/>
        <v>0</v>
      </c>
      <c r="Y34" s="193"/>
      <c r="Z34" s="50">
        <v>3</v>
      </c>
      <c r="AA34" s="50"/>
      <c r="AB34" s="50"/>
      <c r="AC34" s="50"/>
      <c r="AD34" s="50">
        <f t="shared" si="18"/>
        <v>3</v>
      </c>
      <c r="AE34" s="193"/>
      <c r="AF34" s="50">
        <v>2</v>
      </c>
      <c r="AG34" s="50"/>
      <c r="AH34" s="50"/>
      <c r="AI34" s="50"/>
      <c r="AJ34" s="50">
        <f t="shared" si="19"/>
        <v>2</v>
      </c>
      <c r="AL34" s="50"/>
      <c r="AM34" s="50"/>
      <c r="AN34" s="50"/>
      <c r="AO34" s="50"/>
      <c r="AP34" s="50">
        <f t="shared" si="20"/>
        <v>0</v>
      </c>
      <c r="AR34" s="50">
        <f t="shared" si="21"/>
        <v>18</v>
      </c>
      <c r="AS34" s="50">
        <f t="shared" si="13"/>
        <v>0</v>
      </c>
      <c r="AT34" s="50">
        <f t="shared" si="13"/>
        <v>0</v>
      </c>
      <c r="AU34" s="50">
        <f t="shared" si="13"/>
        <v>0</v>
      </c>
      <c r="AV34" s="50">
        <f t="shared" si="22"/>
        <v>18</v>
      </c>
    </row>
    <row r="35" spans="1:48" x14ac:dyDescent="0.25">
      <c r="A35" s="12" t="s">
        <v>31</v>
      </c>
      <c r="B35" s="50">
        <v>0</v>
      </c>
      <c r="C35" s="50"/>
      <c r="D35" s="50"/>
      <c r="E35" s="50"/>
      <c r="F35" s="50">
        <f t="shared" si="14"/>
        <v>0</v>
      </c>
      <c r="H35" s="50">
        <v>0</v>
      </c>
      <c r="I35" s="50"/>
      <c r="J35" s="50"/>
      <c r="K35" s="50"/>
      <c r="L35" s="50">
        <f t="shared" si="15"/>
        <v>0</v>
      </c>
      <c r="N35" s="50">
        <v>0</v>
      </c>
      <c r="O35" s="50"/>
      <c r="P35" s="50"/>
      <c r="Q35" s="50"/>
      <c r="R35" s="50">
        <f t="shared" si="16"/>
        <v>0</v>
      </c>
      <c r="T35" s="50">
        <v>0</v>
      </c>
      <c r="U35" s="50"/>
      <c r="V35" s="50"/>
      <c r="W35" s="50"/>
      <c r="X35" s="50">
        <f t="shared" si="17"/>
        <v>0</v>
      </c>
      <c r="Y35" s="193"/>
      <c r="Z35" s="50">
        <v>0</v>
      </c>
      <c r="AA35" s="50"/>
      <c r="AB35" s="50"/>
      <c r="AC35" s="50"/>
      <c r="AD35" s="50">
        <f t="shared" si="18"/>
        <v>0</v>
      </c>
      <c r="AE35" s="193"/>
      <c r="AF35" s="50">
        <v>0</v>
      </c>
      <c r="AG35" s="50"/>
      <c r="AH35" s="50"/>
      <c r="AI35" s="50"/>
      <c r="AJ35" s="50">
        <f t="shared" si="19"/>
        <v>0</v>
      </c>
      <c r="AL35" s="50"/>
      <c r="AM35" s="50"/>
      <c r="AN35" s="50"/>
      <c r="AO35" s="50"/>
      <c r="AP35" s="50">
        <f t="shared" si="20"/>
        <v>0</v>
      </c>
      <c r="AR35" s="50">
        <f t="shared" si="21"/>
        <v>0</v>
      </c>
      <c r="AS35" s="50">
        <f t="shared" si="13"/>
        <v>0</v>
      </c>
      <c r="AT35" s="50">
        <f t="shared" si="13"/>
        <v>0</v>
      </c>
      <c r="AU35" s="50">
        <f t="shared" si="13"/>
        <v>0</v>
      </c>
      <c r="AV35" s="50">
        <f t="shared" si="22"/>
        <v>0</v>
      </c>
    </row>
    <row r="36" spans="1:48" x14ac:dyDescent="0.25">
      <c r="A36" s="9" t="s">
        <v>32</v>
      </c>
      <c r="B36" s="52">
        <f>SUM(B27:B35)</f>
        <v>45</v>
      </c>
      <c r="C36" s="52">
        <f t="shared" ref="C36:F36" si="23">SUM(C27:C35)</f>
        <v>5</v>
      </c>
      <c r="D36" s="52">
        <f t="shared" si="23"/>
        <v>0</v>
      </c>
      <c r="E36" s="52">
        <f t="shared" si="23"/>
        <v>0</v>
      </c>
      <c r="F36" s="52">
        <f t="shared" si="23"/>
        <v>50</v>
      </c>
      <c r="H36" s="52">
        <f>SUM(H27:H35)</f>
        <v>45</v>
      </c>
      <c r="I36" s="52">
        <f t="shared" ref="I36:L36" si="24">SUM(I27:I35)</f>
        <v>4</v>
      </c>
      <c r="J36" s="52">
        <f t="shared" si="24"/>
        <v>0</v>
      </c>
      <c r="K36" s="52">
        <f t="shared" si="24"/>
        <v>0</v>
      </c>
      <c r="L36" s="52">
        <f t="shared" si="24"/>
        <v>49</v>
      </c>
      <c r="N36" s="52">
        <f>SUM(N27:N35)</f>
        <v>102</v>
      </c>
      <c r="O36" s="52">
        <f t="shared" ref="O36:R36" si="25">SUM(O27:O35)</f>
        <v>14</v>
      </c>
      <c r="P36" s="52">
        <f t="shared" si="25"/>
        <v>0</v>
      </c>
      <c r="Q36" s="52">
        <f t="shared" si="25"/>
        <v>0</v>
      </c>
      <c r="R36" s="52">
        <f t="shared" si="25"/>
        <v>116</v>
      </c>
      <c r="T36" s="52">
        <f t="shared" ref="T36:X36" si="26">SUM(T27:T35)</f>
        <v>23</v>
      </c>
      <c r="U36" s="52">
        <f t="shared" si="26"/>
        <v>3</v>
      </c>
      <c r="V36" s="52">
        <f t="shared" si="26"/>
        <v>0</v>
      </c>
      <c r="W36" s="52">
        <f t="shared" si="26"/>
        <v>0</v>
      </c>
      <c r="X36" s="52">
        <f t="shared" si="26"/>
        <v>26</v>
      </c>
      <c r="Y36" s="197"/>
      <c r="Z36" s="52">
        <f t="shared" ref="Z36:AD36" si="27">SUM(Z27:Z35)</f>
        <v>55</v>
      </c>
      <c r="AA36" s="52">
        <f t="shared" si="27"/>
        <v>7</v>
      </c>
      <c r="AB36" s="52">
        <f t="shared" si="27"/>
        <v>0</v>
      </c>
      <c r="AC36" s="52">
        <f t="shared" si="27"/>
        <v>0</v>
      </c>
      <c r="AD36" s="52">
        <f t="shared" si="27"/>
        <v>62</v>
      </c>
      <c r="AE36" s="197"/>
      <c r="AF36" s="52">
        <f t="shared" ref="AF36:AJ36" si="28">SUM(AF27:AF35)</f>
        <v>42</v>
      </c>
      <c r="AG36" s="52">
        <f t="shared" si="28"/>
        <v>5</v>
      </c>
      <c r="AH36" s="52">
        <f t="shared" si="28"/>
        <v>0</v>
      </c>
      <c r="AI36" s="52">
        <f t="shared" si="28"/>
        <v>0</v>
      </c>
      <c r="AJ36" s="52">
        <f t="shared" si="28"/>
        <v>47</v>
      </c>
      <c r="AL36" s="52">
        <f>SUM(AL27:AL35)</f>
        <v>0</v>
      </c>
      <c r="AM36" s="52">
        <f t="shared" ref="AM36:AP36" si="29">SUM(AM27:AM35)</f>
        <v>0</v>
      </c>
      <c r="AN36" s="52">
        <f t="shared" si="29"/>
        <v>0</v>
      </c>
      <c r="AO36" s="52">
        <f t="shared" si="29"/>
        <v>0</v>
      </c>
      <c r="AP36" s="52">
        <f t="shared" si="29"/>
        <v>0</v>
      </c>
      <c r="AR36" s="52">
        <f>SUM(AR27:AR35)</f>
        <v>312</v>
      </c>
      <c r="AS36" s="52">
        <f t="shared" ref="AS36:AV36" si="30">SUM(AS27:AS35)</f>
        <v>38</v>
      </c>
      <c r="AT36" s="52">
        <f t="shared" si="30"/>
        <v>0</v>
      </c>
      <c r="AU36" s="52">
        <f t="shared" si="30"/>
        <v>0</v>
      </c>
      <c r="AV36" s="52">
        <f t="shared" si="30"/>
        <v>350</v>
      </c>
    </row>
    <row r="37" spans="1:48" x14ac:dyDescent="0.25">
      <c r="A37" s="13"/>
      <c r="B37" s="45"/>
      <c r="C37" s="45"/>
      <c r="D37" s="45"/>
      <c r="E37" s="45"/>
      <c r="F37" s="45"/>
      <c r="H37" s="45"/>
      <c r="I37" s="45"/>
      <c r="J37" s="45"/>
      <c r="K37" s="45"/>
      <c r="L37" s="45"/>
      <c r="N37" s="45"/>
      <c r="O37" s="45"/>
      <c r="P37" s="45"/>
      <c r="Q37" s="45"/>
      <c r="R37" s="45"/>
      <c r="T37" s="45"/>
      <c r="U37" s="45"/>
      <c r="V37" s="45"/>
      <c r="W37" s="45"/>
      <c r="X37" s="45"/>
      <c r="Y37" s="196"/>
      <c r="Z37" s="45"/>
      <c r="AA37" s="45"/>
      <c r="AB37" s="45"/>
      <c r="AC37" s="45"/>
      <c r="AD37" s="45"/>
      <c r="AE37" s="196"/>
      <c r="AF37" s="45"/>
      <c r="AG37" s="45"/>
      <c r="AH37" s="45"/>
      <c r="AI37" s="45"/>
      <c r="AJ37" s="45"/>
      <c r="AL37" s="45"/>
      <c r="AM37" s="45"/>
      <c r="AN37" s="45"/>
      <c r="AO37" s="45"/>
      <c r="AP37" s="45"/>
      <c r="AR37" s="45"/>
      <c r="AS37" s="45"/>
      <c r="AT37" s="45"/>
      <c r="AU37" s="45"/>
      <c r="AV37" s="45"/>
    </row>
    <row r="38" spans="1:48" x14ac:dyDescent="0.25">
      <c r="A38" s="9" t="s">
        <v>33</v>
      </c>
      <c r="B38" s="46" t="s">
        <v>157</v>
      </c>
      <c r="C38" s="46" t="s">
        <v>158</v>
      </c>
      <c r="D38" s="46" t="s">
        <v>159</v>
      </c>
      <c r="E38" s="46" t="str">
        <f>E20</f>
        <v>Other</v>
      </c>
      <c r="F38" s="46" t="str">
        <f>F20</f>
        <v>FY31- Mtn</v>
      </c>
      <c r="H38" s="46" t="s">
        <v>157</v>
      </c>
      <c r="I38" s="46" t="s">
        <v>158</v>
      </c>
      <c r="J38" s="46" t="s">
        <v>159</v>
      </c>
      <c r="K38" s="46" t="str">
        <f>K20</f>
        <v>Other</v>
      </c>
      <c r="L38" s="46" t="str">
        <f>L20</f>
        <v>FY31- Bon</v>
      </c>
      <c r="N38" s="46" t="s">
        <v>157</v>
      </c>
      <c r="O38" s="46" t="s">
        <v>158</v>
      </c>
      <c r="P38" s="46" t="s">
        <v>159</v>
      </c>
      <c r="Q38" s="46" t="str">
        <f>Q20</f>
        <v>Other</v>
      </c>
      <c r="R38" s="46" t="str">
        <f>R20</f>
        <v>FY31- East</v>
      </c>
      <c r="T38" s="46" t="s">
        <v>157</v>
      </c>
      <c r="U38" s="46" t="s">
        <v>158</v>
      </c>
      <c r="V38" s="46" t="s">
        <v>159</v>
      </c>
      <c r="W38" s="46" t="str">
        <f>W20</f>
        <v>Other</v>
      </c>
      <c r="X38" s="46" t="str">
        <f>X20</f>
        <v>FY31- Cactus</v>
      </c>
      <c r="Y38" s="195"/>
      <c r="Z38" s="46" t="s">
        <v>157</v>
      </c>
      <c r="AA38" s="46" t="s">
        <v>158</v>
      </c>
      <c r="AB38" s="46" t="s">
        <v>159</v>
      </c>
      <c r="AC38" s="46" t="str">
        <f>AC20</f>
        <v>Other</v>
      </c>
      <c r="AD38" s="46" t="str">
        <f>AD20</f>
        <v>FY31- Sahara</v>
      </c>
      <c r="AE38" s="195"/>
      <c r="AF38" s="46" t="s">
        <v>157</v>
      </c>
      <c r="AG38" s="46" t="s">
        <v>158</v>
      </c>
      <c r="AH38" s="46" t="s">
        <v>159</v>
      </c>
      <c r="AI38" s="46" t="str">
        <f>AI20</f>
        <v>Other</v>
      </c>
      <c r="AJ38" s="46" t="str">
        <f>AJ20</f>
        <v>FY31- VV</v>
      </c>
      <c r="AL38" s="46" t="s">
        <v>157</v>
      </c>
      <c r="AM38" s="46" t="s">
        <v>158</v>
      </c>
      <c r="AN38" s="46" t="s">
        <v>159</v>
      </c>
      <c r="AO38" s="46" t="str">
        <f>AO20</f>
        <v>Grant</v>
      </c>
      <c r="AP38" s="46" t="str">
        <f>AP20</f>
        <v>FY31 - Central</v>
      </c>
      <c r="AR38" s="46" t="s">
        <v>157</v>
      </c>
      <c r="AS38" s="46" t="s">
        <v>158</v>
      </c>
      <c r="AT38" s="46" t="s">
        <v>159</v>
      </c>
      <c r="AU38" s="46" t="str">
        <f>AU20</f>
        <v>Other</v>
      </c>
      <c r="AV38" s="46" t="str">
        <f>AV20</f>
        <v>FY31- Sys</v>
      </c>
    </row>
    <row r="39" spans="1:48" x14ac:dyDescent="0.25">
      <c r="A39" s="11" t="s">
        <v>34</v>
      </c>
      <c r="B39" s="50">
        <v>1</v>
      </c>
      <c r="C39" s="51"/>
      <c r="D39" s="51"/>
      <c r="E39" s="51"/>
      <c r="F39" s="51">
        <f>SUM(B39:E39)</f>
        <v>1</v>
      </c>
      <c r="H39" s="50">
        <v>1</v>
      </c>
      <c r="I39" s="51"/>
      <c r="J39" s="51"/>
      <c r="K39" s="51"/>
      <c r="L39" s="51">
        <f>SUM(H39:K39)</f>
        <v>1</v>
      </c>
      <c r="N39" s="50">
        <v>1</v>
      </c>
      <c r="O39" s="51"/>
      <c r="P39" s="51"/>
      <c r="Q39" s="51"/>
      <c r="R39" s="51">
        <f>SUM(N39:Q39)</f>
        <v>1</v>
      </c>
      <c r="T39" s="50">
        <v>1</v>
      </c>
      <c r="U39" s="51"/>
      <c r="V39" s="51"/>
      <c r="W39" s="51"/>
      <c r="X39" s="51">
        <f>SUM(T39:W39)</f>
        <v>1</v>
      </c>
      <c r="Y39" s="193"/>
      <c r="Z39" s="51">
        <v>1</v>
      </c>
      <c r="AA39" s="51"/>
      <c r="AB39" s="51"/>
      <c r="AC39" s="51"/>
      <c r="AD39" s="51">
        <f>SUM(Z39:AC39)</f>
        <v>1</v>
      </c>
      <c r="AE39" s="193"/>
      <c r="AF39" s="50">
        <v>1</v>
      </c>
      <c r="AG39" s="51"/>
      <c r="AH39" s="51"/>
      <c r="AI39" s="51"/>
      <c r="AJ39" s="51">
        <f>SUM(AF39:AI39)</f>
        <v>1</v>
      </c>
      <c r="AL39" s="50"/>
      <c r="AM39" s="51"/>
      <c r="AN39" s="51"/>
      <c r="AO39" s="51"/>
      <c r="AP39" s="51">
        <f>SUM(AL39:AO39)</f>
        <v>0</v>
      </c>
      <c r="AR39" s="50">
        <f>B39+H39+N39+T39+AL39+AF39+Z39</f>
        <v>6</v>
      </c>
      <c r="AS39" s="50">
        <f t="shared" ref="AS39:AU54" si="31">C39+I39+O39+U39+AM39+AG39+AA39</f>
        <v>0</v>
      </c>
      <c r="AT39" s="50">
        <f t="shared" si="31"/>
        <v>0</v>
      </c>
      <c r="AU39" s="50">
        <f t="shared" si="31"/>
        <v>0</v>
      </c>
      <c r="AV39" s="51">
        <f>SUM(AR39:AU39)</f>
        <v>6</v>
      </c>
    </row>
    <row r="40" spans="1:48" x14ac:dyDescent="0.25">
      <c r="A40" s="11" t="s">
        <v>35</v>
      </c>
      <c r="B40" s="50">
        <v>3</v>
      </c>
      <c r="C40" s="51"/>
      <c r="D40" s="51"/>
      <c r="E40" s="51"/>
      <c r="F40" s="51">
        <f t="shared" ref="F40:F60" si="32">SUM(B40:E40)</f>
        <v>3</v>
      </c>
      <c r="H40" s="50">
        <v>4</v>
      </c>
      <c r="I40" s="51"/>
      <c r="J40" s="51"/>
      <c r="K40" s="51"/>
      <c r="L40" s="51">
        <f t="shared" ref="L40:L60" si="33">SUM(H40:K40)</f>
        <v>4</v>
      </c>
      <c r="N40" s="50">
        <v>5</v>
      </c>
      <c r="O40" s="51"/>
      <c r="P40" s="51"/>
      <c r="Q40" s="51"/>
      <c r="R40" s="51">
        <f t="shared" ref="R40:R60" si="34">SUM(N40:Q40)</f>
        <v>5</v>
      </c>
      <c r="T40" s="50">
        <v>0</v>
      </c>
      <c r="U40" s="51"/>
      <c r="V40" s="51"/>
      <c r="W40" s="51"/>
      <c r="X40" s="51">
        <f t="shared" ref="X40:X60" si="35">SUM(T40:W40)</f>
        <v>0</v>
      </c>
      <c r="Y40" s="193"/>
      <c r="Z40" s="210">
        <v>3</v>
      </c>
      <c r="AA40" s="51"/>
      <c r="AB40" s="51"/>
      <c r="AC40" s="51"/>
      <c r="AD40" s="51">
        <f t="shared" ref="AD40:AD60" si="36">SUM(Z40:AC40)</f>
        <v>3</v>
      </c>
      <c r="AE40" s="193"/>
      <c r="AF40" s="51">
        <v>3</v>
      </c>
      <c r="AG40" s="51"/>
      <c r="AH40" s="51"/>
      <c r="AI40" s="51"/>
      <c r="AJ40" s="51">
        <f t="shared" ref="AJ40:AJ60" si="37">SUM(AF40:AI40)</f>
        <v>3</v>
      </c>
      <c r="AL40" s="50"/>
      <c r="AM40" s="51">
        <v>1</v>
      </c>
      <c r="AN40" s="51"/>
      <c r="AO40" s="51"/>
      <c r="AP40" s="51">
        <f t="shared" ref="AP40:AP60" si="38">SUM(AL40:AO40)</f>
        <v>1</v>
      </c>
      <c r="AR40" s="50">
        <f t="shared" ref="AR40:AU60" si="39">B40+H40+N40+T40+AL40+AF40+Z40</f>
        <v>18</v>
      </c>
      <c r="AS40" s="50">
        <f t="shared" si="31"/>
        <v>1</v>
      </c>
      <c r="AT40" s="50">
        <f t="shared" si="31"/>
        <v>0</v>
      </c>
      <c r="AU40" s="50">
        <f t="shared" si="31"/>
        <v>0</v>
      </c>
      <c r="AV40" s="51">
        <f t="shared" ref="AV40:AV60" si="40">SUM(AR40:AU40)</f>
        <v>19</v>
      </c>
    </row>
    <row r="41" spans="1:48" x14ac:dyDescent="0.25">
      <c r="A41" s="14" t="s">
        <v>36</v>
      </c>
      <c r="B41" s="50">
        <v>1</v>
      </c>
      <c r="C41" s="51"/>
      <c r="D41" s="51"/>
      <c r="E41" s="51"/>
      <c r="F41" s="51">
        <f t="shared" si="32"/>
        <v>1</v>
      </c>
      <c r="H41" s="50">
        <v>1</v>
      </c>
      <c r="I41" s="51"/>
      <c r="J41" s="51"/>
      <c r="K41" s="51"/>
      <c r="L41" s="51">
        <f t="shared" si="33"/>
        <v>1</v>
      </c>
      <c r="N41" s="50">
        <v>1</v>
      </c>
      <c r="O41" s="51"/>
      <c r="P41" s="51"/>
      <c r="Q41" s="51"/>
      <c r="R41" s="51">
        <f t="shared" si="34"/>
        <v>1</v>
      </c>
      <c r="T41" s="50"/>
      <c r="U41" s="51"/>
      <c r="V41" s="51"/>
      <c r="W41" s="51"/>
      <c r="X41" s="51">
        <f t="shared" si="35"/>
        <v>0</v>
      </c>
      <c r="Y41" s="193"/>
      <c r="Z41" s="51"/>
      <c r="AA41" s="51"/>
      <c r="AB41" s="51"/>
      <c r="AC41" s="51"/>
      <c r="AD41" s="51">
        <f t="shared" si="36"/>
        <v>0</v>
      </c>
      <c r="AE41" s="193"/>
      <c r="AF41" s="51">
        <v>1</v>
      </c>
      <c r="AG41" s="51"/>
      <c r="AH41" s="51"/>
      <c r="AI41" s="51"/>
      <c r="AJ41" s="51">
        <f t="shared" si="37"/>
        <v>1</v>
      </c>
      <c r="AL41" s="50"/>
      <c r="AM41" s="51"/>
      <c r="AN41" s="51"/>
      <c r="AO41" s="51">
        <v>2</v>
      </c>
      <c r="AP41" s="51">
        <f t="shared" si="38"/>
        <v>2</v>
      </c>
      <c r="AR41" s="50">
        <f t="shared" si="39"/>
        <v>4</v>
      </c>
      <c r="AS41" s="50">
        <f t="shared" si="31"/>
        <v>0</v>
      </c>
      <c r="AT41" s="50">
        <f t="shared" si="31"/>
        <v>0</v>
      </c>
      <c r="AU41" s="50">
        <f t="shared" si="31"/>
        <v>2</v>
      </c>
      <c r="AV41" s="51">
        <f t="shared" si="40"/>
        <v>6</v>
      </c>
    </row>
    <row r="42" spans="1:48" x14ac:dyDescent="0.25">
      <c r="A42" s="11" t="s">
        <v>37</v>
      </c>
      <c r="B42" s="50"/>
      <c r="C42" s="51"/>
      <c r="D42" s="51"/>
      <c r="E42" s="51"/>
      <c r="F42" s="51">
        <f t="shared" si="32"/>
        <v>0</v>
      </c>
      <c r="H42" s="50"/>
      <c r="I42" s="51"/>
      <c r="J42" s="51"/>
      <c r="K42" s="51"/>
      <c r="L42" s="51">
        <f t="shared" si="33"/>
        <v>0</v>
      </c>
      <c r="N42" s="50"/>
      <c r="O42" s="51"/>
      <c r="P42" s="51"/>
      <c r="Q42" s="51"/>
      <c r="R42" s="51">
        <f t="shared" si="34"/>
        <v>0</v>
      </c>
      <c r="T42" s="50">
        <v>0</v>
      </c>
      <c r="U42" s="51"/>
      <c r="V42" s="51"/>
      <c r="W42" s="51"/>
      <c r="X42" s="51">
        <f t="shared" si="35"/>
        <v>0</v>
      </c>
      <c r="Y42" s="193"/>
      <c r="Z42" s="51">
        <v>0</v>
      </c>
      <c r="AA42" s="51"/>
      <c r="AB42" s="51"/>
      <c r="AC42" s="51"/>
      <c r="AD42" s="51">
        <f t="shared" si="36"/>
        <v>0</v>
      </c>
      <c r="AE42" s="193"/>
      <c r="AF42" s="51">
        <v>0</v>
      </c>
      <c r="AG42" s="51"/>
      <c r="AH42" s="51"/>
      <c r="AI42" s="51"/>
      <c r="AJ42" s="51">
        <f t="shared" si="37"/>
        <v>0</v>
      </c>
      <c r="AL42" s="50"/>
      <c r="AM42" s="51"/>
      <c r="AN42" s="51"/>
      <c r="AO42" s="51"/>
      <c r="AP42" s="51">
        <f t="shared" si="38"/>
        <v>0</v>
      </c>
      <c r="AR42" s="50">
        <f t="shared" si="39"/>
        <v>0</v>
      </c>
      <c r="AS42" s="50">
        <f t="shared" si="31"/>
        <v>0</v>
      </c>
      <c r="AT42" s="50">
        <f t="shared" si="31"/>
        <v>0</v>
      </c>
      <c r="AU42" s="50">
        <f t="shared" si="31"/>
        <v>0</v>
      </c>
      <c r="AV42" s="51">
        <f t="shared" si="40"/>
        <v>0</v>
      </c>
    </row>
    <row r="43" spans="1:48" x14ac:dyDescent="0.25">
      <c r="A43" s="11" t="s">
        <v>38</v>
      </c>
      <c r="B43" s="50">
        <v>2</v>
      </c>
      <c r="C43" s="51"/>
      <c r="D43" s="51"/>
      <c r="E43" s="51"/>
      <c r="F43" s="51">
        <f t="shared" si="32"/>
        <v>2</v>
      </c>
      <c r="H43" s="50">
        <v>1.5</v>
      </c>
      <c r="I43" s="51"/>
      <c r="J43" s="51"/>
      <c r="K43" s="51"/>
      <c r="L43" s="51">
        <f t="shared" si="33"/>
        <v>1.5</v>
      </c>
      <c r="N43" s="50">
        <v>4</v>
      </c>
      <c r="O43" s="51"/>
      <c r="P43" s="51"/>
      <c r="Q43" s="51"/>
      <c r="R43" s="51">
        <f t="shared" si="34"/>
        <v>4</v>
      </c>
      <c r="T43" s="50">
        <v>1</v>
      </c>
      <c r="U43" s="51"/>
      <c r="V43" s="51"/>
      <c r="W43" s="51"/>
      <c r="X43" s="51">
        <f t="shared" si="35"/>
        <v>1</v>
      </c>
      <c r="Y43" s="193"/>
      <c r="Z43" s="51">
        <v>2</v>
      </c>
      <c r="AA43" s="51"/>
      <c r="AB43" s="51"/>
      <c r="AC43" s="51"/>
      <c r="AD43" s="51">
        <f t="shared" si="36"/>
        <v>2</v>
      </c>
      <c r="AE43" s="193"/>
      <c r="AF43" s="51">
        <v>1</v>
      </c>
      <c r="AG43" s="51"/>
      <c r="AH43" s="51"/>
      <c r="AI43" s="51"/>
      <c r="AJ43" s="51">
        <f t="shared" si="37"/>
        <v>1</v>
      </c>
      <c r="AL43" s="50"/>
      <c r="AM43" s="51"/>
      <c r="AN43" s="51"/>
      <c r="AO43" s="51">
        <v>3</v>
      </c>
      <c r="AP43" s="51">
        <f t="shared" si="38"/>
        <v>3</v>
      </c>
      <c r="AR43" s="50">
        <f t="shared" si="39"/>
        <v>11.5</v>
      </c>
      <c r="AS43" s="50">
        <f t="shared" si="31"/>
        <v>0</v>
      </c>
      <c r="AT43" s="50">
        <f t="shared" si="31"/>
        <v>0</v>
      </c>
      <c r="AU43" s="50">
        <f t="shared" si="31"/>
        <v>3</v>
      </c>
      <c r="AV43" s="51">
        <f t="shared" si="40"/>
        <v>14.5</v>
      </c>
    </row>
    <row r="44" spans="1:48" x14ac:dyDescent="0.25">
      <c r="A44" s="11" t="s">
        <v>39</v>
      </c>
      <c r="B44" s="50">
        <v>2</v>
      </c>
      <c r="C44" s="51"/>
      <c r="D44" s="51"/>
      <c r="E44" s="51"/>
      <c r="F44" s="51">
        <f t="shared" si="32"/>
        <v>2</v>
      </c>
      <c r="H44" s="50">
        <v>2</v>
      </c>
      <c r="I44" s="51"/>
      <c r="J44" s="51"/>
      <c r="K44" s="51"/>
      <c r="L44" s="51">
        <f t="shared" si="33"/>
        <v>2</v>
      </c>
      <c r="N44" s="50">
        <v>5</v>
      </c>
      <c r="O44" s="51"/>
      <c r="P44" s="51"/>
      <c r="Q44" s="51"/>
      <c r="R44" s="51">
        <f t="shared" si="34"/>
        <v>5</v>
      </c>
      <c r="T44" s="50"/>
      <c r="U44" s="51"/>
      <c r="V44" s="51"/>
      <c r="W44" s="51"/>
      <c r="X44" s="51">
        <f t="shared" si="35"/>
        <v>0</v>
      </c>
      <c r="Y44" s="193"/>
      <c r="Z44" s="210">
        <v>3</v>
      </c>
      <c r="AA44" s="51"/>
      <c r="AB44" s="51"/>
      <c r="AC44" s="51"/>
      <c r="AD44" s="51">
        <f t="shared" si="36"/>
        <v>3</v>
      </c>
      <c r="AE44" s="193"/>
      <c r="AF44" s="51">
        <v>2</v>
      </c>
      <c r="AG44" s="51"/>
      <c r="AH44" s="51"/>
      <c r="AI44" s="51"/>
      <c r="AJ44" s="51">
        <f t="shared" si="37"/>
        <v>2</v>
      </c>
      <c r="AL44" s="50"/>
      <c r="AM44" s="51"/>
      <c r="AN44" s="51"/>
      <c r="AO44" s="51">
        <v>2</v>
      </c>
      <c r="AP44" s="51">
        <f t="shared" si="38"/>
        <v>2</v>
      </c>
      <c r="AR44" s="50">
        <f t="shared" si="39"/>
        <v>14</v>
      </c>
      <c r="AS44" s="50">
        <f t="shared" si="31"/>
        <v>0</v>
      </c>
      <c r="AT44" s="50">
        <f t="shared" si="31"/>
        <v>0</v>
      </c>
      <c r="AU44" s="50">
        <f t="shared" si="31"/>
        <v>2</v>
      </c>
      <c r="AV44" s="51">
        <f t="shared" si="40"/>
        <v>16</v>
      </c>
    </row>
    <row r="45" spans="1:48" x14ac:dyDescent="0.25">
      <c r="A45" s="11" t="s">
        <v>40</v>
      </c>
      <c r="B45" s="50">
        <v>2</v>
      </c>
      <c r="C45" s="51"/>
      <c r="D45" s="51"/>
      <c r="E45" s="51"/>
      <c r="F45" s="51">
        <f t="shared" si="32"/>
        <v>2</v>
      </c>
      <c r="H45" s="50">
        <v>1</v>
      </c>
      <c r="I45" s="51"/>
      <c r="J45" s="51"/>
      <c r="K45" s="51"/>
      <c r="L45" s="51">
        <f t="shared" si="33"/>
        <v>1</v>
      </c>
      <c r="N45" s="50"/>
      <c r="O45" s="51"/>
      <c r="P45" s="51"/>
      <c r="Q45" s="51"/>
      <c r="R45" s="51">
        <f t="shared" si="34"/>
        <v>0</v>
      </c>
      <c r="T45" s="50"/>
      <c r="U45" s="51"/>
      <c r="V45" s="51"/>
      <c r="W45" s="51"/>
      <c r="X45" s="51">
        <f t="shared" si="35"/>
        <v>0</v>
      </c>
      <c r="Y45" s="193"/>
      <c r="Z45" s="51"/>
      <c r="AA45" s="51"/>
      <c r="AB45" s="51"/>
      <c r="AC45" s="51"/>
      <c r="AD45" s="51">
        <f t="shared" si="36"/>
        <v>0</v>
      </c>
      <c r="AE45" s="193"/>
      <c r="AF45" s="51">
        <v>2</v>
      </c>
      <c r="AG45" s="51"/>
      <c r="AH45" s="51"/>
      <c r="AI45" s="51"/>
      <c r="AJ45" s="51">
        <f t="shared" si="37"/>
        <v>2</v>
      </c>
      <c r="AL45" s="50">
        <v>1</v>
      </c>
      <c r="AM45" s="51"/>
      <c r="AN45" s="51"/>
      <c r="AO45" s="51"/>
      <c r="AP45" s="51">
        <f t="shared" si="38"/>
        <v>1</v>
      </c>
      <c r="AR45" s="50">
        <f t="shared" si="39"/>
        <v>6</v>
      </c>
      <c r="AS45" s="50">
        <f t="shared" si="31"/>
        <v>0</v>
      </c>
      <c r="AT45" s="50">
        <f t="shared" si="31"/>
        <v>0</v>
      </c>
      <c r="AU45" s="50">
        <f t="shared" si="31"/>
        <v>0</v>
      </c>
      <c r="AV45" s="51">
        <f t="shared" si="40"/>
        <v>6</v>
      </c>
    </row>
    <row r="46" spans="1:48" x14ac:dyDescent="0.25">
      <c r="A46" s="11" t="s">
        <v>41</v>
      </c>
      <c r="B46" s="50">
        <v>2</v>
      </c>
      <c r="C46" s="51"/>
      <c r="D46" s="51"/>
      <c r="E46" s="51"/>
      <c r="F46" s="51">
        <f t="shared" si="32"/>
        <v>2</v>
      </c>
      <c r="H46" s="50">
        <v>2</v>
      </c>
      <c r="I46" s="51"/>
      <c r="J46" s="51"/>
      <c r="K46" s="51"/>
      <c r="L46" s="51">
        <f t="shared" si="33"/>
        <v>2</v>
      </c>
      <c r="N46" s="50">
        <v>3</v>
      </c>
      <c r="O46" s="51"/>
      <c r="P46" s="51"/>
      <c r="Q46" s="51"/>
      <c r="R46" s="51">
        <f t="shared" si="34"/>
        <v>3</v>
      </c>
      <c r="T46" s="50">
        <v>1</v>
      </c>
      <c r="U46" s="51"/>
      <c r="V46" s="51"/>
      <c r="W46" s="51"/>
      <c r="X46" s="51">
        <f t="shared" si="35"/>
        <v>1</v>
      </c>
      <c r="Y46" s="193"/>
      <c r="Z46" s="51">
        <v>1</v>
      </c>
      <c r="AA46" s="51"/>
      <c r="AB46" s="51"/>
      <c r="AC46" s="51"/>
      <c r="AD46" s="51">
        <f t="shared" si="36"/>
        <v>1</v>
      </c>
      <c r="AE46" s="193"/>
      <c r="AF46" s="51">
        <v>1</v>
      </c>
      <c r="AG46" s="51"/>
      <c r="AH46" s="51"/>
      <c r="AI46" s="51"/>
      <c r="AJ46" s="51">
        <f t="shared" si="37"/>
        <v>1</v>
      </c>
      <c r="AL46" s="50">
        <v>1</v>
      </c>
      <c r="AM46" s="51"/>
      <c r="AN46" s="51"/>
      <c r="AO46" s="51"/>
      <c r="AP46" s="51">
        <f t="shared" si="38"/>
        <v>1</v>
      </c>
      <c r="AR46" s="50">
        <f t="shared" si="39"/>
        <v>11</v>
      </c>
      <c r="AS46" s="50">
        <f t="shared" si="31"/>
        <v>0</v>
      </c>
      <c r="AT46" s="50">
        <f t="shared" si="31"/>
        <v>0</v>
      </c>
      <c r="AU46" s="50">
        <f t="shared" si="31"/>
        <v>0</v>
      </c>
      <c r="AV46" s="51">
        <f t="shared" si="40"/>
        <v>11</v>
      </c>
    </row>
    <row r="47" spans="1:48" x14ac:dyDescent="0.25">
      <c r="A47" s="11" t="s">
        <v>42</v>
      </c>
      <c r="B47" s="50">
        <v>1</v>
      </c>
      <c r="C47" s="51"/>
      <c r="D47" s="51"/>
      <c r="E47" s="51"/>
      <c r="F47" s="51">
        <f t="shared" si="32"/>
        <v>1</v>
      </c>
      <c r="H47" s="50">
        <v>1</v>
      </c>
      <c r="I47" s="51"/>
      <c r="J47" s="51"/>
      <c r="K47" s="51"/>
      <c r="L47" s="51">
        <f t="shared" si="33"/>
        <v>1</v>
      </c>
      <c r="N47" s="50">
        <v>2</v>
      </c>
      <c r="O47" s="51"/>
      <c r="P47" s="51"/>
      <c r="Q47" s="51"/>
      <c r="R47" s="51">
        <f t="shared" si="34"/>
        <v>2</v>
      </c>
      <c r="T47" s="50">
        <v>0</v>
      </c>
      <c r="U47" s="51"/>
      <c r="V47" s="51"/>
      <c r="W47" s="51"/>
      <c r="X47" s="51">
        <f t="shared" si="35"/>
        <v>0</v>
      </c>
      <c r="Y47" s="193"/>
      <c r="Z47" s="51">
        <v>1</v>
      </c>
      <c r="AA47" s="51"/>
      <c r="AB47" s="51"/>
      <c r="AC47" s="51"/>
      <c r="AD47" s="51">
        <f t="shared" si="36"/>
        <v>1</v>
      </c>
      <c r="AE47" s="193"/>
      <c r="AF47" s="51">
        <v>1</v>
      </c>
      <c r="AG47" s="51"/>
      <c r="AH47" s="51"/>
      <c r="AI47" s="51"/>
      <c r="AJ47" s="51">
        <f t="shared" si="37"/>
        <v>1</v>
      </c>
      <c r="AL47" s="50"/>
      <c r="AM47" s="51"/>
      <c r="AN47" s="51"/>
      <c r="AO47" s="51"/>
      <c r="AP47" s="51">
        <f t="shared" si="38"/>
        <v>0</v>
      </c>
      <c r="AR47" s="50">
        <f t="shared" si="39"/>
        <v>6</v>
      </c>
      <c r="AS47" s="50">
        <f t="shared" si="31"/>
        <v>0</v>
      </c>
      <c r="AT47" s="50">
        <f t="shared" si="31"/>
        <v>0</v>
      </c>
      <c r="AU47" s="50">
        <f t="shared" si="31"/>
        <v>0</v>
      </c>
      <c r="AV47" s="51">
        <f t="shared" si="40"/>
        <v>6</v>
      </c>
    </row>
    <row r="48" spans="1:48" x14ac:dyDescent="0.25">
      <c r="A48" s="11" t="s">
        <v>43</v>
      </c>
      <c r="B48" s="50">
        <v>1</v>
      </c>
      <c r="C48" s="51"/>
      <c r="D48" s="51"/>
      <c r="E48" s="51"/>
      <c r="F48" s="51">
        <f t="shared" si="32"/>
        <v>1</v>
      </c>
      <c r="H48" s="50">
        <v>1</v>
      </c>
      <c r="I48" s="51"/>
      <c r="J48" s="51"/>
      <c r="K48" s="51"/>
      <c r="L48" s="51">
        <f t="shared" si="33"/>
        <v>1</v>
      </c>
      <c r="N48" s="50">
        <v>3</v>
      </c>
      <c r="O48" s="51"/>
      <c r="P48" s="51"/>
      <c r="Q48" s="51"/>
      <c r="R48" s="51">
        <f t="shared" si="34"/>
        <v>3</v>
      </c>
      <c r="T48" s="50"/>
      <c r="U48" s="51"/>
      <c r="V48" s="51"/>
      <c r="W48" s="51"/>
      <c r="X48" s="51">
        <f t="shared" si="35"/>
        <v>0</v>
      </c>
      <c r="Y48" s="193"/>
      <c r="Z48" s="51">
        <v>1</v>
      </c>
      <c r="AA48" s="51"/>
      <c r="AB48" s="51"/>
      <c r="AC48" s="51"/>
      <c r="AD48" s="51">
        <f t="shared" si="36"/>
        <v>1</v>
      </c>
      <c r="AE48" s="193"/>
      <c r="AF48" s="51">
        <v>1</v>
      </c>
      <c r="AG48" s="51"/>
      <c r="AH48" s="51"/>
      <c r="AI48" s="51"/>
      <c r="AJ48" s="51">
        <f t="shared" si="37"/>
        <v>1</v>
      </c>
      <c r="AL48" s="50"/>
      <c r="AM48" s="51"/>
      <c r="AN48" s="51"/>
      <c r="AO48" s="51"/>
      <c r="AP48" s="51">
        <f t="shared" si="38"/>
        <v>0</v>
      </c>
      <c r="AR48" s="50">
        <f t="shared" si="39"/>
        <v>7</v>
      </c>
      <c r="AS48" s="50">
        <f t="shared" si="31"/>
        <v>0</v>
      </c>
      <c r="AT48" s="50">
        <f t="shared" si="31"/>
        <v>0</v>
      </c>
      <c r="AU48" s="50">
        <f t="shared" si="31"/>
        <v>0</v>
      </c>
      <c r="AV48" s="51">
        <f t="shared" si="40"/>
        <v>7</v>
      </c>
    </row>
    <row r="49" spans="1:48" x14ac:dyDescent="0.25">
      <c r="A49" s="11" t="s">
        <v>44</v>
      </c>
      <c r="B49" s="50">
        <v>2</v>
      </c>
      <c r="C49" s="51"/>
      <c r="D49" s="51"/>
      <c r="E49" s="51"/>
      <c r="F49" s="51">
        <f t="shared" si="32"/>
        <v>2</v>
      </c>
      <c r="H49" s="50">
        <v>2</v>
      </c>
      <c r="I49" s="51"/>
      <c r="J49" s="51"/>
      <c r="K49" s="51"/>
      <c r="L49" s="51">
        <f t="shared" si="33"/>
        <v>2</v>
      </c>
      <c r="N49" s="50">
        <v>4</v>
      </c>
      <c r="O49" s="51"/>
      <c r="P49" s="51"/>
      <c r="Q49" s="51"/>
      <c r="R49" s="51">
        <f t="shared" si="34"/>
        <v>4</v>
      </c>
      <c r="T49" s="50">
        <v>1</v>
      </c>
      <c r="U49" s="51"/>
      <c r="V49" s="51"/>
      <c r="W49" s="51"/>
      <c r="X49" s="51">
        <f t="shared" si="35"/>
        <v>1</v>
      </c>
      <c r="Y49" s="193"/>
      <c r="Z49" s="210">
        <v>2</v>
      </c>
      <c r="AA49" s="51"/>
      <c r="AB49" s="51"/>
      <c r="AC49" s="51"/>
      <c r="AD49" s="51">
        <f t="shared" si="36"/>
        <v>2</v>
      </c>
      <c r="AE49" s="193"/>
      <c r="AF49" s="51">
        <v>1</v>
      </c>
      <c r="AG49" s="51"/>
      <c r="AH49" s="51"/>
      <c r="AI49" s="51"/>
      <c r="AJ49" s="51">
        <f t="shared" si="37"/>
        <v>1</v>
      </c>
      <c r="AL49" s="50"/>
      <c r="AM49" s="51"/>
      <c r="AN49" s="51"/>
      <c r="AO49" s="51"/>
      <c r="AP49" s="51">
        <f t="shared" si="38"/>
        <v>0</v>
      </c>
      <c r="AR49" s="50">
        <f t="shared" si="39"/>
        <v>12</v>
      </c>
      <c r="AS49" s="50">
        <f t="shared" si="31"/>
        <v>0</v>
      </c>
      <c r="AT49" s="50">
        <f t="shared" si="31"/>
        <v>0</v>
      </c>
      <c r="AU49" s="50">
        <f t="shared" si="31"/>
        <v>0</v>
      </c>
      <c r="AV49" s="51">
        <f t="shared" si="40"/>
        <v>12</v>
      </c>
    </row>
    <row r="50" spans="1:48" x14ac:dyDescent="0.25">
      <c r="A50" s="11" t="s">
        <v>45</v>
      </c>
      <c r="B50" s="222">
        <v>8.5</v>
      </c>
      <c r="C50" s="51">
        <v>5</v>
      </c>
      <c r="D50" s="51"/>
      <c r="E50" s="51"/>
      <c r="F50" s="51">
        <f t="shared" si="32"/>
        <v>13.5</v>
      </c>
      <c r="H50" s="222">
        <v>8.5</v>
      </c>
      <c r="I50" s="51">
        <v>5.5</v>
      </c>
      <c r="J50" s="51"/>
      <c r="K50" s="51"/>
      <c r="L50" s="51">
        <f t="shared" si="33"/>
        <v>14</v>
      </c>
      <c r="N50" s="222">
        <v>11.5</v>
      </c>
      <c r="O50" s="51">
        <v>14</v>
      </c>
      <c r="P50" s="51"/>
      <c r="Q50" s="51"/>
      <c r="R50" s="51">
        <f t="shared" si="34"/>
        <v>25.5</v>
      </c>
      <c r="T50" s="51">
        <v>3.5</v>
      </c>
      <c r="U50" s="51">
        <v>3</v>
      </c>
      <c r="V50" s="51"/>
      <c r="W50" s="51"/>
      <c r="X50" s="51">
        <f t="shared" si="35"/>
        <v>6.5</v>
      </c>
      <c r="Y50" s="193"/>
      <c r="Z50" s="210">
        <v>5</v>
      </c>
      <c r="AA50" s="210">
        <v>7</v>
      </c>
      <c r="AB50" s="51">
        <v>0</v>
      </c>
      <c r="AC50" s="51"/>
      <c r="AD50" s="51">
        <f t="shared" si="36"/>
        <v>12</v>
      </c>
      <c r="AE50" s="193"/>
      <c r="AF50" s="51">
        <v>5</v>
      </c>
      <c r="AG50" s="51">
        <v>6</v>
      </c>
      <c r="AH50" s="51">
        <v>2</v>
      </c>
      <c r="AI50" s="51"/>
      <c r="AJ50" s="51">
        <f t="shared" si="37"/>
        <v>13</v>
      </c>
      <c r="AL50" s="51">
        <v>1</v>
      </c>
      <c r="AM50" s="51"/>
      <c r="AN50" s="51"/>
      <c r="AO50" s="51">
        <v>20</v>
      </c>
      <c r="AP50" s="51">
        <f t="shared" si="38"/>
        <v>21</v>
      </c>
      <c r="AR50" s="50">
        <f t="shared" si="39"/>
        <v>43</v>
      </c>
      <c r="AS50" s="50">
        <f t="shared" si="31"/>
        <v>40.5</v>
      </c>
      <c r="AT50" s="50">
        <f t="shared" si="31"/>
        <v>2</v>
      </c>
      <c r="AU50" s="50">
        <f t="shared" si="31"/>
        <v>20</v>
      </c>
      <c r="AV50" s="51">
        <f t="shared" si="40"/>
        <v>105.5</v>
      </c>
    </row>
    <row r="51" spans="1:48" x14ac:dyDescent="0.25">
      <c r="A51" s="11" t="s">
        <v>46</v>
      </c>
      <c r="B51" s="51">
        <v>4</v>
      </c>
      <c r="C51" s="51"/>
      <c r="D51" s="51"/>
      <c r="E51" s="51"/>
      <c r="F51" s="51">
        <f t="shared" si="32"/>
        <v>4</v>
      </c>
      <c r="H51" s="51">
        <v>3</v>
      </c>
      <c r="I51" s="51"/>
      <c r="J51" s="51"/>
      <c r="K51" s="51"/>
      <c r="L51" s="51">
        <f t="shared" si="33"/>
        <v>3</v>
      </c>
      <c r="N51" s="51">
        <v>13</v>
      </c>
      <c r="O51" s="51"/>
      <c r="P51" s="51"/>
      <c r="Q51" s="51"/>
      <c r="R51" s="51">
        <f t="shared" si="34"/>
        <v>13</v>
      </c>
      <c r="T51" s="51">
        <v>1</v>
      </c>
      <c r="U51" s="51"/>
      <c r="V51" s="51"/>
      <c r="W51" s="51"/>
      <c r="X51" s="51">
        <f t="shared" si="35"/>
        <v>1</v>
      </c>
      <c r="Y51" s="193"/>
      <c r="Z51" s="51">
        <v>5</v>
      </c>
      <c r="AA51" s="51"/>
      <c r="AB51" s="51"/>
      <c r="AC51" s="51"/>
      <c r="AD51" s="51">
        <f t="shared" si="36"/>
        <v>5</v>
      </c>
      <c r="AE51" s="193"/>
      <c r="AF51" s="51">
        <v>3</v>
      </c>
      <c r="AG51" s="51"/>
      <c r="AH51" s="51"/>
      <c r="AI51" s="51"/>
      <c r="AJ51" s="51">
        <f t="shared" si="37"/>
        <v>3</v>
      </c>
      <c r="AL51" s="51">
        <v>0</v>
      </c>
      <c r="AM51" s="51"/>
      <c r="AN51" s="51"/>
      <c r="AO51" s="51"/>
      <c r="AP51" s="51">
        <f t="shared" si="38"/>
        <v>0</v>
      </c>
      <c r="AR51" s="50">
        <f t="shared" si="39"/>
        <v>29</v>
      </c>
      <c r="AS51" s="50">
        <f t="shared" si="31"/>
        <v>0</v>
      </c>
      <c r="AT51" s="50">
        <f t="shared" si="31"/>
        <v>0</v>
      </c>
      <c r="AU51" s="50">
        <f t="shared" si="31"/>
        <v>0</v>
      </c>
      <c r="AV51" s="51">
        <f t="shared" si="40"/>
        <v>29</v>
      </c>
    </row>
    <row r="52" spans="1:48" x14ac:dyDescent="0.25">
      <c r="A52" s="11" t="s">
        <v>47</v>
      </c>
      <c r="B52" s="51"/>
      <c r="C52" s="51"/>
      <c r="D52" s="51">
        <v>3</v>
      </c>
      <c r="E52" s="51"/>
      <c r="F52" s="51">
        <f t="shared" si="32"/>
        <v>3</v>
      </c>
      <c r="H52" s="51"/>
      <c r="I52" s="51"/>
      <c r="J52" s="51">
        <v>3</v>
      </c>
      <c r="K52" s="51"/>
      <c r="L52" s="51">
        <f t="shared" si="33"/>
        <v>3</v>
      </c>
      <c r="N52" s="51"/>
      <c r="O52" s="51"/>
      <c r="P52" s="51">
        <v>9</v>
      </c>
      <c r="Q52" s="51"/>
      <c r="R52" s="51">
        <f t="shared" si="34"/>
        <v>9</v>
      </c>
      <c r="T52" s="51"/>
      <c r="U52" s="51"/>
      <c r="V52" s="51"/>
      <c r="W52" s="51"/>
      <c r="X52" s="51">
        <f t="shared" si="35"/>
        <v>0</v>
      </c>
      <c r="Y52" s="193"/>
      <c r="Z52" s="51"/>
      <c r="AA52" s="51"/>
      <c r="AB52" s="51">
        <v>2</v>
      </c>
      <c r="AC52" s="51"/>
      <c r="AD52" s="51">
        <f t="shared" si="36"/>
        <v>2</v>
      </c>
      <c r="AE52" s="193"/>
      <c r="AF52" s="51"/>
      <c r="AG52" s="51"/>
      <c r="AH52" s="51"/>
      <c r="AI52" s="51"/>
      <c r="AJ52" s="51">
        <f t="shared" si="37"/>
        <v>0</v>
      </c>
      <c r="AL52" s="51"/>
      <c r="AM52" s="51"/>
      <c r="AN52" s="51">
        <v>1</v>
      </c>
      <c r="AO52" s="51"/>
      <c r="AP52" s="51">
        <f t="shared" si="38"/>
        <v>1</v>
      </c>
      <c r="AR52" s="50">
        <f t="shared" si="39"/>
        <v>0</v>
      </c>
      <c r="AS52" s="50">
        <f t="shared" si="31"/>
        <v>0</v>
      </c>
      <c r="AT52" s="50">
        <f t="shared" si="31"/>
        <v>18</v>
      </c>
      <c r="AU52" s="50">
        <f t="shared" si="31"/>
        <v>0</v>
      </c>
      <c r="AV52" s="51">
        <f t="shared" si="40"/>
        <v>18</v>
      </c>
    </row>
    <row r="53" spans="1:48" x14ac:dyDescent="0.25">
      <c r="A53" s="11" t="s">
        <v>48</v>
      </c>
      <c r="B53" s="51"/>
      <c r="C53" s="51"/>
      <c r="D53" s="51"/>
      <c r="E53" s="51"/>
      <c r="F53" s="51">
        <f t="shared" si="32"/>
        <v>0</v>
      </c>
      <c r="H53" s="51"/>
      <c r="I53" s="51"/>
      <c r="J53" s="51"/>
      <c r="K53" s="51"/>
      <c r="L53" s="51">
        <f t="shared" si="33"/>
        <v>0</v>
      </c>
      <c r="N53" s="51"/>
      <c r="O53" s="51"/>
      <c r="P53" s="51"/>
      <c r="Q53" s="51"/>
      <c r="R53" s="51">
        <f t="shared" si="34"/>
        <v>0</v>
      </c>
      <c r="T53" s="51"/>
      <c r="U53" s="51"/>
      <c r="V53" s="51"/>
      <c r="W53" s="51"/>
      <c r="X53" s="51">
        <f t="shared" si="35"/>
        <v>0</v>
      </c>
      <c r="Y53" s="193"/>
      <c r="Z53" s="51"/>
      <c r="AA53" s="51"/>
      <c r="AB53" s="51"/>
      <c r="AC53" s="51"/>
      <c r="AD53" s="51">
        <f t="shared" si="36"/>
        <v>0</v>
      </c>
      <c r="AE53" s="193"/>
      <c r="AF53" s="51"/>
      <c r="AG53" s="51"/>
      <c r="AH53" s="51"/>
      <c r="AI53" s="51"/>
      <c r="AJ53" s="51">
        <f t="shared" si="37"/>
        <v>0</v>
      </c>
      <c r="AL53" s="51"/>
      <c r="AM53" s="51"/>
      <c r="AN53" s="51"/>
      <c r="AO53" s="51"/>
      <c r="AP53" s="51">
        <f t="shared" si="38"/>
        <v>0</v>
      </c>
      <c r="AR53" s="50">
        <f t="shared" si="39"/>
        <v>0</v>
      </c>
      <c r="AS53" s="50">
        <f t="shared" si="31"/>
        <v>0</v>
      </c>
      <c r="AT53" s="50">
        <f t="shared" si="31"/>
        <v>0</v>
      </c>
      <c r="AU53" s="50">
        <f t="shared" si="31"/>
        <v>0</v>
      </c>
      <c r="AV53" s="51">
        <f t="shared" si="40"/>
        <v>0</v>
      </c>
    </row>
    <row r="54" spans="1:48" x14ac:dyDescent="0.25">
      <c r="A54" s="14" t="s">
        <v>49</v>
      </c>
      <c r="B54" s="51">
        <v>0.5</v>
      </c>
      <c r="C54" s="51">
        <v>1</v>
      </c>
      <c r="D54" s="51"/>
      <c r="E54" s="51"/>
      <c r="F54" s="51">
        <f t="shared" si="32"/>
        <v>1.5</v>
      </c>
      <c r="H54" s="51"/>
      <c r="I54" s="51">
        <v>1</v>
      </c>
      <c r="J54" s="51"/>
      <c r="K54" s="51"/>
      <c r="L54" s="51">
        <f t="shared" si="33"/>
        <v>1</v>
      </c>
      <c r="N54" s="51"/>
      <c r="O54" s="51">
        <v>1</v>
      </c>
      <c r="P54" s="51"/>
      <c r="Q54" s="51"/>
      <c r="R54" s="51">
        <f t="shared" si="34"/>
        <v>1</v>
      </c>
      <c r="T54" s="51"/>
      <c r="U54" s="51"/>
      <c r="V54" s="51"/>
      <c r="W54" s="51"/>
      <c r="X54" s="51">
        <f t="shared" si="35"/>
        <v>0</v>
      </c>
      <c r="Y54" s="193"/>
      <c r="Z54" s="51"/>
      <c r="AA54" s="51"/>
      <c r="AB54" s="51"/>
      <c r="AC54" s="51"/>
      <c r="AD54" s="51">
        <f t="shared" si="36"/>
        <v>0</v>
      </c>
      <c r="AE54" s="193"/>
      <c r="AF54" s="51"/>
      <c r="AG54" s="51"/>
      <c r="AH54" s="51"/>
      <c r="AI54" s="51"/>
      <c r="AJ54" s="51">
        <f t="shared" si="37"/>
        <v>0</v>
      </c>
      <c r="AL54" s="51"/>
      <c r="AM54" s="51"/>
      <c r="AN54" s="51"/>
      <c r="AO54" s="51"/>
      <c r="AP54" s="51">
        <f t="shared" si="38"/>
        <v>0</v>
      </c>
      <c r="AR54" s="50">
        <f t="shared" si="39"/>
        <v>0.5</v>
      </c>
      <c r="AS54" s="50">
        <f t="shared" si="31"/>
        <v>3</v>
      </c>
      <c r="AT54" s="50">
        <f t="shared" si="31"/>
        <v>0</v>
      </c>
      <c r="AU54" s="50">
        <f t="shared" si="31"/>
        <v>0</v>
      </c>
      <c r="AV54" s="51">
        <f t="shared" si="40"/>
        <v>3.5</v>
      </c>
    </row>
    <row r="55" spans="1:48" x14ac:dyDescent="0.25">
      <c r="A55" s="14" t="s">
        <v>50</v>
      </c>
      <c r="B55" s="51"/>
      <c r="C55" s="51">
        <v>1</v>
      </c>
      <c r="D55" s="51"/>
      <c r="E55" s="51"/>
      <c r="F55" s="51">
        <f t="shared" si="32"/>
        <v>1</v>
      </c>
      <c r="H55" s="51"/>
      <c r="I55" s="51">
        <v>1</v>
      </c>
      <c r="J55" s="51"/>
      <c r="K55" s="51"/>
      <c r="L55" s="51">
        <f t="shared" si="33"/>
        <v>1</v>
      </c>
      <c r="N55" s="51"/>
      <c r="O55" s="51">
        <v>1</v>
      </c>
      <c r="P55" s="51"/>
      <c r="Q55" s="51"/>
      <c r="R55" s="51">
        <f t="shared" si="34"/>
        <v>1</v>
      </c>
      <c r="T55" s="51"/>
      <c r="U55" s="51"/>
      <c r="V55" s="51"/>
      <c r="W55" s="51"/>
      <c r="X55" s="51">
        <f t="shared" si="35"/>
        <v>0</v>
      </c>
      <c r="Y55" s="193"/>
      <c r="Z55" s="51"/>
      <c r="AA55" s="51"/>
      <c r="AB55" s="51"/>
      <c r="AC55" s="51"/>
      <c r="AD55" s="51">
        <f t="shared" si="36"/>
        <v>0</v>
      </c>
      <c r="AE55" s="193"/>
      <c r="AF55" s="51"/>
      <c r="AG55" s="51"/>
      <c r="AH55" s="51"/>
      <c r="AI55" s="51"/>
      <c r="AJ55" s="51">
        <f t="shared" si="37"/>
        <v>0</v>
      </c>
      <c r="AL55" s="51"/>
      <c r="AM55" s="51"/>
      <c r="AN55" s="51"/>
      <c r="AO55" s="51"/>
      <c r="AP55" s="51">
        <f t="shared" si="38"/>
        <v>0</v>
      </c>
      <c r="AR55" s="50">
        <f t="shared" si="39"/>
        <v>0</v>
      </c>
      <c r="AS55" s="50">
        <f t="shared" si="39"/>
        <v>3</v>
      </c>
      <c r="AT55" s="50">
        <f t="shared" si="39"/>
        <v>0</v>
      </c>
      <c r="AU55" s="50">
        <f t="shared" si="39"/>
        <v>0</v>
      </c>
      <c r="AV55" s="51">
        <f t="shared" si="40"/>
        <v>3</v>
      </c>
    </row>
    <row r="56" spans="1:48" x14ac:dyDescent="0.25">
      <c r="A56" s="14" t="s">
        <v>51</v>
      </c>
      <c r="B56" s="51"/>
      <c r="C56" s="51">
        <v>0.5</v>
      </c>
      <c r="D56" s="51"/>
      <c r="E56" s="51"/>
      <c r="F56" s="51">
        <f t="shared" si="32"/>
        <v>0.5</v>
      </c>
      <c r="H56" s="51"/>
      <c r="I56" s="51">
        <v>0.5</v>
      </c>
      <c r="J56" s="51"/>
      <c r="K56" s="51"/>
      <c r="L56" s="51">
        <f t="shared" si="33"/>
        <v>0.5</v>
      </c>
      <c r="N56" s="51"/>
      <c r="O56" s="51">
        <v>1</v>
      </c>
      <c r="P56" s="51"/>
      <c r="Q56" s="51"/>
      <c r="R56" s="51">
        <f t="shared" si="34"/>
        <v>1</v>
      </c>
      <c r="T56" s="51"/>
      <c r="U56" s="51"/>
      <c r="V56" s="51"/>
      <c r="W56" s="51"/>
      <c r="X56" s="51">
        <f t="shared" si="35"/>
        <v>0</v>
      </c>
      <c r="Y56" s="193"/>
      <c r="Z56" s="51"/>
      <c r="AA56" s="51"/>
      <c r="AB56" s="51"/>
      <c r="AC56" s="51"/>
      <c r="AD56" s="51">
        <f t="shared" si="36"/>
        <v>0</v>
      </c>
      <c r="AE56" s="193"/>
      <c r="AF56" s="51"/>
      <c r="AG56" s="51"/>
      <c r="AH56" s="51"/>
      <c r="AI56" s="51"/>
      <c r="AJ56" s="51">
        <f t="shared" si="37"/>
        <v>0</v>
      </c>
      <c r="AL56" s="51"/>
      <c r="AM56" s="51">
        <v>2</v>
      </c>
      <c r="AN56" s="51"/>
      <c r="AO56" s="51"/>
      <c r="AP56" s="51">
        <f t="shared" si="38"/>
        <v>2</v>
      </c>
      <c r="AR56" s="50">
        <f t="shared" si="39"/>
        <v>0</v>
      </c>
      <c r="AS56" s="50">
        <f t="shared" si="39"/>
        <v>4</v>
      </c>
      <c r="AT56" s="50">
        <f t="shared" si="39"/>
        <v>0</v>
      </c>
      <c r="AU56" s="50">
        <f t="shared" si="39"/>
        <v>0</v>
      </c>
      <c r="AV56" s="51">
        <f t="shared" si="40"/>
        <v>4</v>
      </c>
    </row>
    <row r="57" spans="1:48" x14ac:dyDescent="0.25">
      <c r="A57" s="14" t="s">
        <v>52</v>
      </c>
      <c r="B57" s="51"/>
      <c r="C57" s="51"/>
      <c r="D57" s="51"/>
      <c r="E57" s="51"/>
      <c r="F57" s="51">
        <f t="shared" si="32"/>
        <v>0</v>
      </c>
      <c r="H57" s="51"/>
      <c r="I57" s="51"/>
      <c r="J57" s="51"/>
      <c r="K57" s="51"/>
      <c r="L57" s="51">
        <f t="shared" si="33"/>
        <v>0</v>
      </c>
      <c r="N57" s="51"/>
      <c r="O57" s="51"/>
      <c r="P57" s="51"/>
      <c r="Q57" s="51"/>
      <c r="R57" s="51">
        <f t="shared" si="34"/>
        <v>0</v>
      </c>
      <c r="T57" s="51"/>
      <c r="U57" s="51"/>
      <c r="V57" s="51"/>
      <c r="W57" s="51"/>
      <c r="X57" s="51">
        <f t="shared" si="35"/>
        <v>0</v>
      </c>
      <c r="Y57" s="193"/>
      <c r="Z57" s="51"/>
      <c r="AA57" s="51"/>
      <c r="AB57" s="51"/>
      <c r="AC57" s="51"/>
      <c r="AD57" s="51">
        <f t="shared" si="36"/>
        <v>0</v>
      </c>
      <c r="AE57" s="193"/>
      <c r="AF57" s="51"/>
      <c r="AG57" s="51"/>
      <c r="AH57" s="51"/>
      <c r="AI57" s="51"/>
      <c r="AJ57" s="51">
        <f t="shared" si="37"/>
        <v>0</v>
      </c>
      <c r="AL57" s="51"/>
      <c r="AM57" s="51"/>
      <c r="AN57" s="51"/>
      <c r="AO57" s="51"/>
      <c r="AP57" s="51">
        <f t="shared" si="38"/>
        <v>0</v>
      </c>
      <c r="AR57" s="50">
        <f t="shared" si="39"/>
        <v>0</v>
      </c>
      <c r="AS57" s="50">
        <f t="shared" si="39"/>
        <v>0</v>
      </c>
      <c r="AT57" s="50">
        <f t="shared" si="39"/>
        <v>0</v>
      </c>
      <c r="AU57" s="50">
        <f t="shared" si="39"/>
        <v>0</v>
      </c>
      <c r="AV57" s="51">
        <f t="shared" si="40"/>
        <v>0</v>
      </c>
    </row>
    <row r="58" spans="1:48" x14ac:dyDescent="0.25">
      <c r="A58" s="14" t="s">
        <v>53</v>
      </c>
      <c r="B58" s="51"/>
      <c r="C58" s="51"/>
      <c r="D58" s="51"/>
      <c r="E58" s="51"/>
      <c r="F58" s="51">
        <f t="shared" si="32"/>
        <v>0</v>
      </c>
      <c r="H58" s="51"/>
      <c r="I58" s="51"/>
      <c r="J58" s="51"/>
      <c r="K58" s="51"/>
      <c r="L58" s="51">
        <f t="shared" si="33"/>
        <v>0</v>
      </c>
      <c r="N58" s="51">
        <v>1</v>
      </c>
      <c r="O58" s="51"/>
      <c r="P58" s="51"/>
      <c r="Q58" s="51"/>
      <c r="R58" s="51">
        <f t="shared" si="34"/>
        <v>1</v>
      </c>
      <c r="T58" s="51"/>
      <c r="U58" s="51"/>
      <c r="V58" s="51"/>
      <c r="W58" s="51"/>
      <c r="X58" s="51">
        <f t="shared" si="35"/>
        <v>0</v>
      </c>
      <c r="Y58" s="193"/>
      <c r="Z58" s="51"/>
      <c r="AA58" s="51"/>
      <c r="AB58" s="51"/>
      <c r="AC58" s="51"/>
      <c r="AD58" s="51">
        <f t="shared" si="36"/>
        <v>0</v>
      </c>
      <c r="AE58" s="193"/>
      <c r="AF58" s="51"/>
      <c r="AG58" s="51"/>
      <c r="AH58" s="51"/>
      <c r="AI58" s="51"/>
      <c r="AJ58" s="51">
        <f t="shared" si="37"/>
        <v>0</v>
      </c>
      <c r="AL58" s="51"/>
      <c r="AM58" s="51"/>
      <c r="AN58" s="51"/>
      <c r="AO58" s="51"/>
      <c r="AP58" s="51">
        <f t="shared" si="38"/>
        <v>0</v>
      </c>
      <c r="AR58" s="50">
        <f t="shared" si="39"/>
        <v>1</v>
      </c>
      <c r="AS58" s="50">
        <f t="shared" si="39"/>
        <v>0</v>
      </c>
      <c r="AT58" s="50">
        <f t="shared" si="39"/>
        <v>0</v>
      </c>
      <c r="AU58" s="50">
        <f t="shared" si="39"/>
        <v>0</v>
      </c>
      <c r="AV58" s="51">
        <f t="shared" si="40"/>
        <v>1</v>
      </c>
    </row>
    <row r="59" spans="1:48" x14ac:dyDescent="0.25">
      <c r="A59" s="14" t="s">
        <v>54</v>
      </c>
      <c r="B59" s="51">
        <v>2</v>
      </c>
      <c r="C59" s="51"/>
      <c r="D59" s="51"/>
      <c r="E59" s="51"/>
      <c r="F59" s="51">
        <f t="shared" si="32"/>
        <v>2</v>
      </c>
      <c r="H59" s="51">
        <v>1</v>
      </c>
      <c r="I59" s="51"/>
      <c r="J59" s="51"/>
      <c r="K59" s="51"/>
      <c r="L59" s="51">
        <f t="shared" si="33"/>
        <v>1</v>
      </c>
      <c r="N59" s="51">
        <v>3</v>
      </c>
      <c r="O59" s="51"/>
      <c r="P59" s="51"/>
      <c r="Q59" s="51"/>
      <c r="R59" s="51">
        <f t="shared" si="34"/>
        <v>3</v>
      </c>
      <c r="T59" s="51"/>
      <c r="U59" s="51"/>
      <c r="V59" s="51"/>
      <c r="W59" s="51"/>
      <c r="X59" s="51">
        <f t="shared" si="35"/>
        <v>0</v>
      </c>
      <c r="Y59" s="193"/>
      <c r="Z59" s="51"/>
      <c r="AA59" s="51"/>
      <c r="AB59" s="51"/>
      <c r="AC59" s="51"/>
      <c r="AD59" s="51">
        <f t="shared" si="36"/>
        <v>0</v>
      </c>
      <c r="AE59" s="193"/>
      <c r="AF59" s="51"/>
      <c r="AG59" s="51"/>
      <c r="AH59" s="51"/>
      <c r="AI59" s="51"/>
      <c r="AJ59" s="51">
        <f t="shared" si="37"/>
        <v>0</v>
      </c>
      <c r="AL59" s="51"/>
      <c r="AM59" s="51"/>
      <c r="AN59" s="51"/>
      <c r="AO59" s="51"/>
      <c r="AP59" s="51">
        <f t="shared" si="38"/>
        <v>0</v>
      </c>
      <c r="AR59" s="50">
        <f t="shared" si="39"/>
        <v>6</v>
      </c>
      <c r="AS59" s="50">
        <f t="shared" si="39"/>
        <v>0</v>
      </c>
      <c r="AT59" s="50">
        <f t="shared" si="39"/>
        <v>0</v>
      </c>
      <c r="AU59" s="50">
        <f t="shared" si="39"/>
        <v>0</v>
      </c>
      <c r="AV59" s="51">
        <f t="shared" si="40"/>
        <v>6</v>
      </c>
    </row>
    <row r="60" spans="1:48" x14ac:dyDescent="0.25">
      <c r="A60" s="11" t="s">
        <v>55</v>
      </c>
      <c r="B60" s="50">
        <v>1</v>
      </c>
      <c r="C60" s="50"/>
      <c r="D60" s="50"/>
      <c r="E60" s="50"/>
      <c r="F60" s="51">
        <f t="shared" si="32"/>
        <v>1</v>
      </c>
      <c r="H60" s="50">
        <v>1</v>
      </c>
      <c r="I60" s="50"/>
      <c r="J60" s="50"/>
      <c r="K60" s="50"/>
      <c r="L60" s="51">
        <f t="shared" si="33"/>
        <v>1</v>
      </c>
      <c r="N60" s="50">
        <v>1</v>
      </c>
      <c r="O60" s="50"/>
      <c r="P60" s="50"/>
      <c r="Q60" s="50"/>
      <c r="R60" s="51">
        <f t="shared" si="34"/>
        <v>1</v>
      </c>
      <c r="T60" s="50"/>
      <c r="U60" s="50"/>
      <c r="V60" s="50"/>
      <c r="W60" s="50"/>
      <c r="X60" s="51">
        <f t="shared" si="35"/>
        <v>0</v>
      </c>
      <c r="Y60" s="193"/>
      <c r="Z60" s="50"/>
      <c r="AA60" s="50"/>
      <c r="AB60" s="50"/>
      <c r="AC60" s="50"/>
      <c r="AD60" s="51">
        <f t="shared" si="36"/>
        <v>0</v>
      </c>
      <c r="AE60" s="193"/>
      <c r="AF60" s="50"/>
      <c r="AG60" s="50"/>
      <c r="AH60" s="50"/>
      <c r="AI60" s="50"/>
      <c r="AJ60" s="51">
        <f t="shared" si="37"/>
        <v>0</v>
      </c>
      <c r="AL60" s="50"/>
      <c r="AM60" s="50"/>
      <c r="AN60" s="50"/>
      <c r="AO60" s="50"/>
      <c r="AP60" s="51">
        <f t="shared" si="38"/>
        <v>0</v>
      </c>
      <c r="AR60" s="50">
        <f t="shared" si="39"/>
        <v>3</v>
      </c>
      <c r="AS60" s="50">
        <f t="shared" si="39"/>
        <v>0</v>
      </c>
      <c r="AT60" s="50">
        <f t="shared" si="39"/>
        <v>0</v>
      </c>
      <c r="AU60" s="50">
        <f t="shared" si="39"/>
        <v>0</v>
      </c>
      <c r="AV60" s="51">
        <f t="shared" si="40"/>
        <v>3</v>
      </c>
    </row>
    <row r="61" spans="1:48" x14ac:dyDescent="0.25">
      <c r="A61" s="9" t="s">
        <v>56</v>
      </c>
      <c r="B61" s="52">
        <f t="shared" ref="B61:F61" si="41">SUM(B39:B60)</f>
        <v>33</v>
      </c>
      <c r="C61" s="52">
        <f t="shared" si="41"/>
        <v>7.5</v>
      </c>
      <c r="D61" s="52">
        <f t="shared" si="41"/>
        <v>3</v>
      </c>
      <c r="E61" s="52">
        <f t="shared" si="41"/>
        <v>0</v>
      </c>
      <c r="F61" s="52">
        <f t="shared" si="41"/>
        <v>43.5</v>
      </c>
      <c r="H61" s="52">
        <f t="shared" ref="H61:L61" si="42">SUM(H39:H60)</f>
        <v>30</v>
      </c>
      <c r="I61" s="52">
        <f t="shared" si="42"/>
        <v>8</v>
      </c>
      <c r="J61" s="52">
        <f t="shared" si="42"/>
        <v>3</v>
      </c>
      <c r="K61" s="52">
        <f t="shared" si="42"/>
        <v>0</v>
      </c>
      <c r="L61" s="52">
        <f t="shared" si="42"/>
        <v>41</v>
      </c>
      <c r="N61" s="52">
        <f t="shared" ref="N61:R61" si="43">SUM(N39:N60)</f>
        <v>57.5</v>
      </c>
      <c r="O61" s="52">
        <f t="shared" si="43"/>
        <v>17</v>
      </c>
      <c r="P61" s="52">
        <f t="shared" si="43"/>
        <v>9</v>
      </c>
      <c r="Q61" s="52">
        <f t="shared" si="43"/>
        <v>0</v>
      </c>
      <c r="R61" s="52">
        <f t="shared" si="43"/>
        <v>83.5</v>
      </c>
      <c r="T61" s="52">
        <f t="shared" ref="T61:X61" si="44">SUM(T39:T60)</f>
        <v>8.5</v>
      </c>
      <c r="U61" s="52">
        <f t="shared" si="44"/>
        <v>3</v>
      </c>
      <c r="V61" s="52">
        <f t="shared" si="44"/>
        <v>0</v>
      </c>
      <c r="W61" s="52">
        <f t="shared" si="44"/>
        <v>0</v>
      </c>
      <c r="X61" s="52">
        <f t="shared" si="44"/>
        <v>11.5</v>
      </c>
      <c r="Y61" s="197"/>
      <c r="Z61" s="52">
        <f t="shared" ref="Z61:AD61" si="45">SUM(Z39:Z60)</f>
        <v>24</v>
      </c>
      <c r="AA61" s="52">
        <f t="shared" si="45"/>
        <v>7</v>
      </c>
      <c r="AB61" s="52">
        <f t="shared" si="45"/>
        <v>2</v>
      </c>
      <c r="AC61" s="52">
        <f t="shared" si="45"/>
        <v>0</v>
      </c>
      <c r="AD61" s="52">
        <f t="shared" si="45"/>
        <v>33</v>
      </c>
      <c r="AE61" s="197"/>
      <c r="AF61" s="52">
        <f t="shared" ref="AF61:AJ61" si="46">SUM(AF39:AF60)</f>
        <v>22</v>
      </c>
      <c r="AG61" s="52">
        <f t="shared" si="46"/>
        <v>6</v>
      </c>
      <c r="AH61" s="52">
        <f t="shared" si="46"/>
        <v>2</v>
      </c>
      <c r="AI61" s="52">
        <f t="shared" si="46"/>
        <v>0</v>
      </c>
      <c r="AJ61" s="52">
        <f t="shared" si="46"/>
        <v>30</v>
      </c>
      <c r="AL61" s="52">
        <f t="shared" ref="AL61:AP61" si="47">SUM(AL39:AL60)</f>
        <v>3</v>
      </c>
      <c r="AM61" s="52">
        <f t="shared" si="47"/>
        <v>3</v>
      </c>
      <c r="AN61" s="52">
        <f t="shared" si="47"/>
        <v>1</v>
      </c>
      <c r="AO61" s="52">
        <f t="shared" si="47"/>
        <v>27</v>
      </c>
      <c r="AP61" s="52">
        <f t="shared" si="47"/>
        <v>34</v>
      </c>
      <c r="AR61" s="52">
        <f t="shared" ref="AR61:AV61" si="48">SUM(AR39:AR60)</f>
        <v>178</v>
      </c>
      <c r="AS61" s="52">
        <f t="shared" si="48"/>
        <v>51.5</v>
      </c>
      <c r="AT61" s="52">
        <f t="shared" si="48"/>
        <v>20</v>
      </c>
      <c r="AU61" s="52">
        <f t="shared" si="48"/>
        <v>27</v>
      </c>
      <c r="AV61" s="52">
        <f t="shared" si="48"/>
        <v>276.5</v>
      </c>
    </row>
    <row r="62" spans="1:48" ht="16.5" thickBot="1" x14ac:dyDescent="0.3">
      <c r="A62" s="15"/>
      <c r="B62" s="53"/>
      <c r="C62" s="53"/>
      <c r="D62" s="53"/>
      <c r="E62" s="53"/>
      <c r="F62" s="53"/>
      <c r="H62" s="53"/>
      <c r="I62" s="53"/>
      <c r="J62" s="53"/>
      <c r="K62" s="53"/>
      <c r="L62" s="53"/>
      <c r="N62" s="53"/>
      <c r="O62" s="53"/>
      <c r="P62" s="53"/>
      <c r="Q62" s="53"/>
      <c r="R62" s="53"/>
      <c r="T62" s="53"/>
      <c r="U62" s="53"/>
      <c r="V62" s="53"/>
      <c r="W62" s="53"/>
      <c r="X62" s="53"/>
      <c r="Y62" s="196"/>
      <c r="Z62" s="53"/>
      <c r="AA62" s="53"/>
      <c r="AB62" s="53"/>
      <c r="AC62" s="53"/>
      <c r="AD62" s="53"/>
      <c r="AE62" s="196"/>
      <c r="AF62" s="53"/>
      <c r="AG62" s="53"/>
      <c r="AH62" s="53"/>
      <c r="AI62" s="53"/>
      <c r="AJ62" s="53"/>
      <c r="AL62" s="53"/>
      <c r="AM62" s="53"/>
      <c r="AN62" s="53"/>
      <c r="AO62" s="53"/>
      <c r="AP62" s="53"/>
      <c r="AR62" s="53"/>
      <c r="AS62" s="53"/>
      <c r="AT62" s="53"/>
      <c r="AU62" s="53"/>
      <c r="AV62" s="53"/>
    </row>
    <row r="63" spans="1:48" x14ac:dyDescent="0.25">
      <c r="A63" s="16" t="s">
        <v>57</v>
      </c>
      <c r="B63" s="54">
        <f>B36+B41+B43+B50</f>
        <v>56.5</v>
      </c>
      <c r="C63" s="54">
        <f t="shared" ref="C63:F63" si="49">C36+C41+C43+C50</f>
        <v>10</v>
      </c>
      <c r="D63" s="54">
        <f t="shared" si="49"/>
        <v>0</v>
      </c>
      <c r="E63" s="54">
        <f t="shared" si="49"/>
        <v>0</v>
      </c>
      <c r="F63" s="54">
        <f t="shared" si="49"/>
        <v>66.5</v>
      </c>
      <c r="H63" s="54">
        <f>H36+H41+H43+H50</f>
        <v>56</v>
      </c>
      <c r="I63" s="54">
        <f t="shared" ref="I63:L63" si="50">I36+I41+I43+I50</f>
        <v>9.5</v>
      </c>
      <c r="J63" s="54">
        <f t="shared" si="50"/>
        <v>0</v>
      </c>
      <c r="K63" s="54">
        <f t="shared" si="50"/>
        <v>0</v>
      </c>
      <c r="L63" s="54">
        <f t="shared" si="50"/>
        <v>65.5</v>
      </c>
      <c r="N63" s="54">
        <f>N36+N41+N43+N50</f>
        <v>118.5</v>
      </c>
      <c r="O63" s="54">
        <f t="shared" ref="O63:R63" si="51">O36+O41+O43+O50</f>
        <v>28</v>
      </c>
      <c r="P63" s="54">
        <f t="shared" si="51"/>
        <v>0</v>
      </c>
      <c r="Q63" s="54">
        <f t="shared" si="51"/>
        <v>0</v>
      </c>
      <c r="R63" s="54">
        <f t="shared" si="51"/>
        <v>146.5</v>
      </c>
      <c r="T63" s="54">
        <f>T36+T41+T43+T50</f>
        <v>27.5</v>
      </c>
      <c r="U63" s="54">
        <f t="shared" ref="U63:X63" si="52">U36+U41+U43+U50</f>
        <v>6</v>
      </c>
      <c r="V63" s="54">
        <f t="shared" si="52"/>
        <v>0</v>
      </c>
      <c r="W63" s="54">
        <f t="shared" si="52"/>
        <v>0</v>
      </c>
      <c r="X63" s="54">
        <f t="shared" si="52"/>
        <v>33.5</v>
      </c>
      <c r="Y63" s="197"/>
      <c r="Z63" s="54">
        <f>Z36+Z41+Z43+Z50</f>
        <v>62</v>
      </c>
      <c r="AA63" s="54">
        <f t="shared" ref="AA63:AD63" si="53">AA36+AA41+AA43+AA50</f>
        <v>14</v>
      </c>
      <c r="AB63" s="54">
        <f t="shared" si="53"/>
        <v>0</v>
      </c>
      <c r="AC63" s="54">
        <f t="shared" si="53"/>
        <v>0</v>
      </c>
      <c r="AD63" s="54">
        <f t="shared" si="53"/>
        <v>76</v>
      </c>
      <c r="AE63" s="197"/>
      <c r="AF63" s="54">
        <f>AF36+AF41+AF43+AF50</f>
        <v>49</v>
      </c>
      <c r="AG63" s="54">
        <f t="shared" ref="AG63:AJ63" si="54">AG36+AG41+AG43+AG50</f>
        <v>11</v>
      </c>
      <c r="AH63" s="54">
        <f t="shared" si="54"/>
        <v>2</v>
      </c>
      <c r="AI63" s="54">
        <f t="shared" si="54"/>
        <v>0</v>
      </c>
      <c r="AJ63" s="54">
        <f t="shared" si="54"/>
        <v>62</v>
      </c>
      <c r="AL63" s="54">
        <f>AL36+AL41+AL43+AL50</f>
        <v>1</v>
      </c>
      <c r="AM63" s="54">
        <f t="shared" ref="AM63:AP63" si="55">AM36+AM41+AM43+AM50</f>
        <v>0</v>
      </c>
      <c r="AN63" s="54">
        <f t="shared" si="55"/>
        <v>0</v>
      </c>
      <c r="AO63" s="54">
        <f t="shared" si="55"/>
        <v>25</v>
      </c>
      <c r="AP63" s="54">
        <f t="shared" si="55"/>
        <v>26</v>
      </c>
      <c r="AR63" s="54">
        <f>AR36+AR41+AR43+AR50</f>
        <v>370.5</v>
      </c>
      <c r="AS63" s="54">
        <f t="shared" ref="AS63:AV63" si="56">AS36+AS41+AS43+AS50</f>
        <v>78.5</v>
      </c>
      <c r="AT63" s="54">
        <f t="shared" si="56"/>
        <v>2</v>
      </c>
      <c r="AU63" s="54">
        <f t="shared" si="56"/>
        <v>25</v>
      </c>
      <c r="AV63" s="54">
        <f t="shared" si="56"/>
        <v>476</v>
      </c>
    </row>
    <row r="64" spans="1:48" x14ac:dyDescent="0.25">
      <c r="A64" s="17" t="s">
        <v>58</v>
      </c>
      <c r="B64" s="55">
        <f>B61-B41-B43-B50</f>
        <v>21.5</v>
      </c>
      <c r="C64" s="55">
        <f>C61-C41-C43-C50</f>
        <v>2.5</v>
      </c>
      <c r="D64" s="55">
        <f t="shared" ref="D64:F64" si="57">D61-D41-D43-D50</f>
        <v>3</v>
      </c>
      <c r="E64" s="55">
        <f t="shared" si="57"/>
        <v>0</v>
      </c>
      <c r="F64" s="55">
        <f t="shared" si="57"/>
        <v>27</v>
      </c>
      <c r="H64" s="55">
        <f>H61-H41-H43-H50</f>
        <v>19</v>
      </c>
      <c r="I64" s="55">
        <f>I61-I41-I43-I50</f>
        <v>2.5</v>
      </c>
      <c r="J64" s="55">
        <f t="shared" ref="J64:L64" si="58">J61-J41-J43-J50</f>
        <v>3</v>
      </c>
      <c r="K64" s="55">
        <f t="shared" si="58"/>
        <v>0</v>
      </c>
      <c r="L64" s="55">
        <f t="shared" si="58"/>
        <v>24.5</v>
      </c>
      <c r="N64" s="55">
        <f>N61-N41-N43-N50</f>
        <v>41</v>
      </c>
      <c r="O64" s="55">
        <f>O61-O41-O43-O50</f>
        <v>3</v>
      </c>
      <c r="P64" s="55">
        <f t="shared" ref="P64:R64" si="59">P61-P41-P43-P50</f>
        <v>9</v>
      </c>
      <c r="Q64" s="55">
        <f t="shared" si="59"/>
        <v>0</v>
      </c>
      <c r="R64" s="55">
        <f t="shared" si="59"/>
        <v>53</v>
      </c>
      <c r="T64" s="55">
        <f>T61-T41-T43-T50</f>
        <v>4</v>
      </c>
      <c r="U64" s="55">
        <f>U61-U41-U43-U50</f>
        <v>0</v>
      </c>
      <c r="V64" s="55">
        <f t="shared" ref="V64:X64" si="60">V61-V41-V43-V50</f>
        <v>0</v>
      </c>
      <c r="W64" s="55">
        <f t="shared" si="60"/>
        <v>0</v>
      </c>
      <c r="X64" s="55">
        <f t="shared" si="60"/>
        <v>4</v>
      </c>
      <c r="Y64" s="197"/>
      <c r="Z64" s="55">
        <f>Z61-Z41-Z43-Z50</f>
        <v>17</v>
      </c>
      <c r="AA64" s="55">
        <f>AA61-AA41-AA43-AA50</f>
        <v>0</v>
      </c>
      <c r="AB64" s="55">
        <f t="shared" ref="AB64:AD64" si="61">AB61-AB41-AB43-AB50</f>
        <v>2</v>
      </c>
      <c r="AC64" s="55">
        <f t="shared" si="61"/>
        <v>0</v>
      </c>
      <c r="AD64" s="55">
        <f t="shared" si="61"/>
        <v>19</v>
      </c>
      <c r="AE64" s="197"/>
      <c r="AF64" s="55">
        <f>AF61-AF41-AF43-AF50</f>
        <v>15</v>
      </c>
      <c r="AG64" s="55">
        <f>AG61-AG41-AG43-AG50</f>
        <v>0</v>
      </c>
      <c r="AH64" s="55">
        <f t="shared" ref="AH64:AJ64" si="62">AH61-AH41-AH43-AH50</f>
        <v>0</v>
      </c>
      <c r="AI64" s="55">
        <f t="shared" si="62"/>
        <v>0</v>
      </c>
      <c r="AJ64" s="55">
        <f t="shared" si="62"/>
        <v>15</v>
      </c>
      <c r="AL64" s="55">
        <f>AL61-AL41-AL43-AL50</f>
        <v>2</v>
      </c>
      <c r="AM64" s="55">
        <f>AM61-AM41-AM43-AM50</f>
        <v>3</v>
      </c>
      <c r="AN64" s="55">
        <f t="shared" ref="AN64:AP64" si="63">AN61-AN41-AN43-AN50</f>
        <v>1</v>
      </c>
      <c r="AO64" s="55">
        <f t="shared" si="63"/>
        <v>2</v>
      </c>
      <c r="AP64" s="55">
        <f t="shared" si="63"/>
        <v>8</v>
      </c>
      <c r="AR64" s="55">
        <f>AR61-AR41-AR43-AR50</f>
        <v>119.5</v>
      </c>
      <c r="AS64" s="55">
        <f>AS61-AS41-AS43-AS50</f>
        <v>11</v>
      </c>
      <c r="AT64" s="55">
        <f t="shared" ref="AT64:AV64" si="64">AT61-AT41-AT43-AT50</f>
        <v>18</v>
      </c>
      <c r="AU64" s="55">
        <f t="shared" si="64"/>
        <v>2</v>
      </c>
      <c r="AV64" s="55">
        <f t="shared" si="64"/>
        <v>150.5</v>
      </c>
    </row>
    <row r="65" spans="1:48" ht="16.5" thickBot="1" x14ac:dyDescent="0.3">
      <c r="A65" s="18" t="s">
        <v>59</v>
      </c>
      <c r="B65" s="56">
        <f>SUM(B63:B64)</f>
        <v>78</v>
      </c>
      <c r="C65" s="56">
        <f t="shared" ref="C65:F65" si="65">SUM(C63:C64)</f>
        <v>12.5</v>
      </c>
      <c r="D65" s="56">
        <f t="shared" si="65"/>
        <v>3</v>
      </c>
      <c r="E65" s="56">
        <f t="shared" si="65"/>
        <v>0</v>
      </c>
      <c r="F65" s="56">
        <f t="shared" si="65"/>
        <v>93.5</v>
      </c>
      <c r="H65" s="56">
        <f>SUM(H63:H64)</f>
        <v>75</v>
      </c>
      <c r="I65" s="56">
        <f t="shared" ref="I65:L65" si="66">SUM(I63:I64)</f>
        <v>12</v>
      </c>
      <c r="J65" s="56">
        <f t="shared" si="66"/>
        <v>3</v>
      </c>
      <c r="K65" s="56">
        <f t="shared" si="66"/>
        <v>0</v>
      </c>
      <c r="L65" s="56">
        <f t="shared" si="66"/>
        <v>90</v>
      </c>
      <c r="N65" s="56">
        <f>SUM(N63:N64)</f>
        <v>159.5</v>
      </c>
      <c r="O65" s="56">
        <f t="shared" ref="O65:R65" si="67">SUM(O63:O64)</f>
        <v>31</v>
      </c>
      <c r="P65" s="56">
        <f t="shared" si="67"/>
        <v>9</v>
      </c>
      <c r="Q65" s="56">
        <f t="shared" si="67"/>
        <v>0</v>
      </c>
      <c r="R65" s="56">
        <f t="shared" si="67"/>
        <v>199.5</v>
      </c>
      <c r="T65" s="56">
        <f t="shared" ref="T65:X65" si="68">SUM(T63:T64)</f>
        <v>31.5</v>
      </c>
      <c r="U65" s="56">
        <f t="shared" si="68"/>
        <v>6</v>
      </c>
      <c r="V65" s="56">
        <f t="shared" si="68"/>
        <v>0</v>
      </c>
      <c r="W65" s="56">
        <f t="shared" si="68"/>
        <v>0</v>
      </c>
      <c r="X65" s="56">
        <f t="shared" si="68"/>
        <v>37.5</v>
      </c>
      <c r="Y65" s="197"/>
      <c r="Z65" s="56">
        <f t="shared" ref="Z65:AD65" si="69">SUM(Z63:Z64)</f>
        <v>79</v>
      </c>
      <c r="AA65" s="56">
        <f t="shared" si="69"/>
        <v>14</v>
      </c>
      <c r="AB65" s="56">
        <f t="shared" si="69"/>
        <v>2</v>
      </c>
      <c r="AC65" s="56">
        <f t="shared" si="69"/>
        <v>0</v>
      </c>
      <c r="AD65" s="56">
        <f t="shared" si="69"/>
        <v>95</v>
      </c>
      <c r="AE65" s="197"/>
      <c r="AF65" s="56">
        <f t="shared" ref="AF65:AJ65" si="70">SUM(AF63:AF64)</f>
        <v>64</v>
      </c>
      <c r="AG65" s="56">
        <f t="shared" si="70"/>
        <v>11</v>
      </c>
      <c r="AH65" s="56">
        <f t="shared" si="70"/>
        <v>2</v>
      </c>
      <c r="AI65" s="56">
        <f t="shared" si="70"/>
        <v>0</v>
      </c>
      <c r="AJ65" s="56">
        <f t="shared" si="70"/>
        <v>77</v>
      </c>
      <c r="AL65" s="56">
        <f>SUM(AL63:AL64)</f>
        <v>3</v>
      </c>
      <c r="AM65" s="56">
        <f t="shared" ref="AM65:AP65" si="71">SUM(AM63:AM64)</f>
        <v>3</v>
      </c>
      <c r="AN65" s="56">
        <f t="shared" si="71"/>
        <v>1</v>
      </c>
      <c r="AO65" s="56">
        <f t="shared" si="71"/>
        <v>27</v>
      </c>
      <c r="AP65" s="56">
        <f t="shared" si="71"/>
        <v>34</v>
      </c>
      <c r="AR65" s="56">
        <f>SUM(AR63:AR64)</f>
        <v>490</v>
      </c>
      <c r="AS65" s="56">
        <f t="shared" ref="AS65:AV65" si="72">SUM(AS63:AS64)</f>
        <v>89.5</v>
      </c>
      <c r="AT65" s="56">
        <f t="shared" si="72"/>
        <v>20</v>
      </c>
      <c r="AU65" s="56">
        <f t="shared" si="72"/>
        <v>27</v>
      </c>
      <c r="AV65" s="56">
        <f t="shared" si="72"/>
        <v>626.5</v>
      </c>
    </row>
    <row r="66" spans="1:48" ht="16.5" thickBot="1" x14ac:dyDescent="0.3">
      <c r="B66" s="57"/>
      <c r="C66" s="57"/>
      <c r="D66" s="57"/>
      <c r="E66" s="57"/>
      <c r="F66" s="57"/>
      <c r="H66" s="57"/>
      <c r="I66" s="57"/>
      <c r="J66" s="57"/>
      <c r="K66" s="57"/>
      <c r="L66" s="57"/>
      <c r="N66" s="57"/>
      <c r="O66" s="57"/>
      <c r="P66" s="57"/>
      <c r="Q66" s="57"/>
      <c r="R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L66" s="57"/>
      <c r="AM66" s="57"/>
      <c r="AN66" s="57"/>
      <c r="AO66" s="57"/>
      <c r="AP66" s="57"/>
      <c r="AR66" s="57"/>
      <c r="AS66" s="57"/>
      <c r="AT66" s="57"/>
      <c r="AU66" s="57"/>
      <c r="AV66" s="57"/>
    </row>
    <row r="67" spans="1:48" ht="16.5" thickBot="1" x14ac:dyDescent="0.3">
      <c r="A67" s="19"/>
      <c r="B67" s="58" t="s">
        <v>157</v>
      </c>
      <c r="C67" s="58" t="s">
        <v>158</v>
      </c>
      <c r="D67" s="58" t="s">
        <v>159</v>
      </c>
      <c r="E67" s="59" t="str">
        <f>E20</f>
        <v>Other</v>
      </c>
      <c r="F67" s="59" t="str">
        <f>F20</f>
        <v>FY31- Mtn</v>
      </c>
      <c r="H67" s="58" t="s">
        <v>157</v>
      </c>
      <c r="I67" s="58" t="s">
        <v>158</v>
      </c>
      <c r="J67" s="58" t="s">
        <v>159</v>
      </c>
      <c r="K67" s="59" t="str">
        <f>K20</f>
        <v>Other</v>
      </c>
      <c r="L67" s="59" t="str">
        <f>L20</f>
        <v>FY31- Bon</v>
      </c>
      <c r="N67" s="58" t="s">
        <v>157</v>
      </c>
      <c r="O67" s="58" t="s">
        <v>158</v>
      </c>
      <c r="P67" s="58" t="s">
        <v>159</v>
      </c>
      <c r="Q67" s="59" t="str">
        <f>Q20</f>
        <v>Other</v>
      </c>
      <c r="R67" s="59" t="str">
        <f>R20</f>
        <v>FY31- East</v>
      </c>
      <c r="T67" s="58" t="s">
        <v>157</v>
      </c>
      <c r="U67" s="58" t="s">
        <v>158</v>
      </c>
      <c r="V67" s="58" t="s">
        <v>159</v>
      </c>
      <c r="W67" s="59" t="str">
        <f>W20</f>
        <v>Other</v>
      </c>
      <c r="X67" s="59" t="str">
        <f>X20</f>
        <v>FY31- Cactus</v>
      </c>
      <c r="Y67" s="198"/>
      <c r="Z67" s="58" t="s">
        <v>157</v>
      </c>
      <c r="AA67" s="58" t="s">
        <v>158</v>
      </c>
      <c r="AB67" s="58" t="s">
        <v>159</v>
      </c>
      <c r="AC67" s="59" t="str">
        <f>AC20</f>
        <v>Other</v>
      </c>
      <c r="AD67" s="59" t="str">
        <f>AD20</f>
        <v>FY31- Sahara</v>
      </c>
      <c r="AE67" s="198"/>
      <c r="AF67" s="58" t="s">
        <v>157</v>
      </c>
      <c r="AG67" s="58" t="s">
        <v>158</v>
      </c>
      <c r="AH67" s="58" t="s">
        <v>159</v>
      </c>
      <c r="AI67" s="59" t="str">
        <f>AI20</f>
        <v>Other</v>
      </c>
      <c r="AJ67" s="59" t="str">
        <f>AJ20</f>
        <v>FY31- VV</v>
      </c>
      <c r="AL67" s="58" t="s">
        <v>157</v>
      </c>
      <c r="AM67" s="58" t="s">
        <v>158</v>
      </c>
      <c r="AN67" s="58" t="s">
        <v>159</v>
      </c>
      <c r="AO67" s="59" t="str">
        <f>AO20</f>
        <v>Grant</v>
      </c>
      <c r="AP67" s="59" t="str">
        <f>AP20</f>
        <v>FY31 - Central</v>
      </c>
      <c r="AR67" s="58" t="s">
        <v>157</v>
      </c>
      <c r="AS67" s="58" t="s">
        <v>158</v>
      </c>
      <c r="AT67" s="58" t="s">
        <v>159</v>
      </c>
      <c r="AU67" s="59" t="str">
        <f>AU20</f>
        <v>Other</v>
      </c>
      <c r="AV67" s="59" t="str">
        <f>AV20</f>
        <v>FY31- Sys</v>
      </c>
    </row>
    <row r="68" spans="1:48" x14ac:dyDescent="0.25">
      <c r="A68" s="20" t="s">
        <v>60</v>
      </c>
      <c r="B68" s="60">
        <f>B17*B2</f>
        <v>10408500</v>
      </c>
      <c r="C68" s="60"/>
      <c r="D68" s="60"/>
      <c r="E68" s="60"/>
      <c r="F68" s="60">
        <f>SUM(B68:E68)</f>
        <v>10408500</v>
      </c>
      <c r="H68" s="60">
        <f>H17*H2</f>
        <v>10408500</v>
      </c>
      <c r="I68" s="60"/>
      <c r="J68" s="60"/>
      <c r="K68" s="60"/>
      <c r="L68" s="60">
        <f>SUM(H68:K68)</f>
        <v>10408500</v>
      </c>
      <c r="N68" s="60">
        <f>N17*N2</f>
        <v>25423875</v>
      </c>
      <c r="O68" s="60"/>
      <c r="P68" s="60"/>
      <c r="Q68" s="60"/>
      <c r="R68" s="60">
        <f>SUM(N68:Q68)</f>
        <v>25423875</v>
      </c>
      <c r="T68" s="60">
        <f>T2*T17</f>
        <v>5467500</v>
      </c>
      <c r="U68" s="60"/>
      <c r="V68" s="60"/>
      <c r="W68" s="60"/>
      <c r="X68" s="60">
        <f>SUM(T68:W68)</f>
        <v>5467500</v>
      </c>
      <c r="Y68" s="194"/>
      <c r="Z68" s="60">
        <f>Z2*Z17</f>
        <v>13780125</v>
      </c>
      <c r="AA68" s="60"/>
      <c r="AB68" s="60"/>
      <c r="AC68" s="60"/>
      <c r="AD68" s="60">
        <f>SUM(Z68:AC68)</f>
        <v>13780125</v>
      </c>
      <c r="AE68" s="194"/>
      <c r="AF68" s="60">
        <f>AF2*AF17</f>
        <v>10398375</v>
      </c>
      <c r="AG68" s="60"/>
      <c r="AH68" s="60"/>
      <c r="AI68" s="60"/>
      <c r="AJ68" s="60">
        <f>SUM(AF68:AI68)</f>
        <v>10398375</v>
      </c>
      <c r="AL68" s="60"/>
      <c r="AM68" s="60"/>
      <c r="AN68" s="60"/>
      <c r="AO68" s="60"/>
      <c r="AP68" s="60">
        <f>SUM(AL68:AO68)</f>
        <v>0</v>
      </c>
      <c r="AR68" s="60">
        <f>B68+H68+N68+T68+AL68+AF68+Z68</f>
        <v>75886875</v>
      </c>
      <c r="AS68" s="60">
        <f t="shared" ref="AS68:AU81" si="73">C68+I68+O68+U68+AM68+AG68+AA68</f>
        <v>0</v>
      </c>
      <c r="AT68" s="60">
        <f t="shared" si="73"/>
        <v>0</v>
      </c>
      <c r="AU68" s="60">
        <f t="shared" si="73"/>
        <v>0</v>
      </c>
      <c r="AV68" s="60">
        <f>SUM(AR68:AU68)</f>
        <v>75886875</v>
      </c>
    </row>
    <row r="69" spans="1:48" x14ac:dyDescent="0.25">
      <c r="A69" s="21" t="s">
        <v>61</v>
      </c>
      <c r="B69" s="60">
        <f>(B2*0.4495)*B22</f>
        <v>1638427.5</v>
      </c>
      <c r="C69" s="61"/>
      <c r="D69" s="61"/>
      <c r="E69" s="61"/>
      <c r="F69" s="60">
        <f t="shared" ref="F69:F81" si="74">SUM(B69:E69)</f>
        <v>1638427.5</v>
      </c>
      <c r="H69" s="60">
        <f>(H2*0.4495)*H22</f>
        <v>1638427.5</v>
      </c>
      <c r="I69" s="61"/>
      <c r="J69" s="61"/>
      <c r="K69" s="61"/>
      <c r="L69" s="60">
        <f t="shared" ref="L69:L81" si="75">SUM(H69:K69)</f>
        <v>1638427.5</v>
      </c>
      <c r="N69" s="60">
        <f>(N2*0.4495)*N22</f>
        <v>3367878.75</v>
      </c>
      <c r="O69" s="61"/>
      <c r="P69" s="61"/>
      <c r="Q69" s="61"/>
      <c r="R69" s="60">
        <f t="shared" ref="R69:R81" si="76">SUM(N69:Q69)</f>
        <v>3367878.75</v>
      </c>
      <c r="T69" s="60">
        <f>(T2*0.4495)*T22</f>
        <v>364095</v>
      </c>
      <c r="U69" s="61"/>
      <c r="V69" s="61"/>
      <c r="W69" s="61"/>
      <c r="X69" s="60">
        <f t="shared" ref="X69:X81" si="77">SUM(T69:W69)</f>
        <v>364095</v>
      </c>
      <c r="Y69" s="194"/>
      <c r="Z69" s="60">
        <f>(Z2*0.4495)*Z22</f>
        <v>1774963.125</v>
      </c>
      <c r="AA69" s="61"/>
      <c r="AB69" s="61"/>
      <c r="AC69" s="61"/>
      <c r="AD69" s="60">
        <f t="shared" ref="AD69:AD81" si="78">SUM(Z69:AC69)</f>
        <v>1774963.125</v>
      </c>
      <c r="AE69" s="194"/>
      <c r="AF69" s="60">
        <f>(AF2*0.4495)*AF22</f>
        <v>1501891.875</v>
      </c>
      <c r="AG69" s="61"/>
      <c r="AH69" s="61"/>
      <c r="AI69" s="61"/>
      <c r="AJ69" s="60">
        <f t="shared" ref="AJ69:AJ81" si="79">SUM(AF69:AI69)</f>
        <v>1501891.875</v>
      </c>
      <c r="AL69" s="61"/>
      <c r="AM69" s="61"/>
      <c r="AN69" s="61"/>
      <c r="AO69" s="61"/>
      <c r="AP69" s="60">
        <f t="shared" ref="AP69:AP81" si="80">SUM(AL69:AO69)</f>
        <v>0</v>
      </c>
      <c r="AR69" s="60">
        <f t="shared" ref="AR69:AR81" si="81">B69+H69+N69+T69+AL69+AF69+Z69</f>
        <v>10285683.75</v>
      </c>
      <c r="AS69" s="60">
        <f t="shared" si="73"/>
        <v>0</v>
      </c>
      <c r="AT69" s="60">
        <f t="shared" si="73"/>
        <v>0</v>
      </c>
      <c r="AU69" s="60">
        <f t="shared" si="73"/>
        <v>0</v>
      </c>
      <c r="AV69" s="60">
        <f t="shared" ref="AV69:AV81" si="82">SUM(AR69:AU69)</f>
        <v>10285683.75</v>
      </c>
    </row>
    <row r="70" spans="1:48" x14ac:dyDescent="0.25">
      <c r="A70" s="21" t="s">
        <v>62</v>
      </c>
      <c r="B70" s="61">
        <f>B23*1130</f>
        <v>0</v>
      </c>
      <c r="C70" s="61"/>
      <c r="D70" s="61"/>
      <c r="E70" s="61"/>
      <c r="F70" s="60">
        <f t="shared" si="74"/>
        <v>0</v>
      </c>
      <c r="H70" s="61">
        <f>H23*1130</f>
        <v>0</v>
      </c>
      <c r="I70" s="61"/>
      <c r="J70" s="61"/>
      <c r="K70" s="61"/>
      <c r="L70" s="60">
        <f t="shared" si="75"/>
        <v>0</v>
      </c>
      <c r="N70" s="61">
        <f>N23*1130</f>
        <v>0</v>
      </c>
      <c r="O70" s="61"/>
      <c r="P70" s="61"/>
      <c r="Q70" s="61"/>
      <c r="R70" s="60">
        <f t="shared" si="76"/>
        <v>0</v>
      </c>
      <c r="T70" s="60">
        <f>(T2*0.1195)*T23</f>
        <v>0</v>
      </c>
      <c r="U70" s="61"/>
      <c r="V70" s="61"/>
      <c r="W70" s="61"/>
      <c r="X70" s="60">
        <f t="shared" si="77"/>
        <v>0</v>
      </c>
      <c r="Y70" s="194"/>
      <c r="Z70" s="60">
        <f>(Z2*0.1195)*Z23</f>
        <v>0</v>
      </c>
      <c r="AA70" s="61"/>
      <c r="AB70" s="61"/>
      <c r="AC70" s="61"/>
      <c r="AD70" s="60">
        <f t="shared" si="78"/>
        <v>0</v>
      </c>
      <c r="AE70" s="194"/>
      <c r="AF70" s="60">
        <f>(AF2*0.1195)*AF23</f>
        <v>0</v>
      </c>
      <c r="AG70" s="61"/>
      <c r="AH70" s="61"/>
      <c r="AI70" s="61"/>
      <c r="AJ70" s="60">
        <f t="shared" si="79"/>
        <v>0</v>
      </c>
      <c r="AL70" s="61"/>
      <c r="AM70" s="61"/>
      <c r="AN70" s="61"/>
      <c r="AO70" s="61"/>
      <c r="AP70" s="60">
        <f t="shared" si="80"/>
        <v>0</v>
      </c>
      <c r="AR70" s="60">
        <f t="shared" si="81"/>
        <v>0</v>
      </c>
      <c r="AS70" s="60">
        <f t="shared" si="73"/>
        <v>0</v>
      </c>
      <c r="AT70" s="60">
        <f t="shared" si="73"/>
        <v>0</v>
      </c>
      <c r="AU70" s="60">
        <f t="shared" si="73"/>
        <v>0</v>
      </c>
      <c r="AV70" s="60">
        <f t="shared" si="82"/>
        <v>0</v>
      </c>
    </row>
    <row r="71" spans="1:48" x14ac:dyDescent="0.25">
      <c r="A71" s="21" t="s">
        <v>63</v>
      </c>
      <c r="B71" s="61">
        <f>B24*3294</f>
        <v>0</v>
      </c>
      <c r="C71" s="61"/>
      <c r="D71" s="61"/>
      <c r="E71" s="61"/>
      <c r="F71" s="60">
        <f t="shared" si="74"/>
        <v>0</v>
      </c>
      <c r="H71" s="61">
        <f>H24*3294</f>
        <v>0</v>
      </c>
      <c r="I71" s="61"/>
      <c r="J71" s="61"/>
      <c r="K71" s="61"/>
      <c r="L71" s="60">
        <f t="shared" si="75"/>
        <v>0</v>
      </c>
      <c r="N71" s="61">
        <f>N24*3294</f>
        <v>16470</v>
      </c>
      <c r="O71" s="61"/>
      <c r="P71" s="61"/>
      <c r="Q71" s="61"/>
      <c r="R71" s="60">
        <f t="shared" si="76"/>
        <v>16470</v>
      </c>
      <c r="T71" s="60">
        <f>(T2*0.3495)*T24</f>
        <v>0</v>
      </c>
      <c r="U71" s="61"/>
      <c r="V71" s="61"/>
      <c r="W71" s="61"/>
      <c r="X71" s="60">
        <f t="shared" si="77"/>
        <v>0</v>
      </c>
      <c r="Y71" s="194"/>
      <c r="Z71" s="60">
        <f>(Z2*0.3495)*Z24</f>
        <v>0</v>
      </c>
      <c r="AA71" s="61"/>
      <c r="AB71" s="61"/>
      <c r="AC71" s="61"/>
      <c r="AD71" s="60">
        <f t="shared" si="78"/>
        <v>0</v>
      </c>
      <c r="AE71" s="194"/>
      <c r="AF71" s="60">
        <f>(AF2*0.3495)*AF24</f>
        <v>0</v>
      </c>
      <c r="AG71" s="61"/>
      <c r="AH71" s="61"/>
      <c r="AI71" s="61"/>
      <c r="AJ71" s="60">
        <f t="shared" si="79"/>
        <v>0</v>
      </c>
      <c r="AL71" s="61"/>
      <c r="AM71" s="61"/>
      <c r="AN71" s="61"/>
      <c r="AO71" s="61"/>
      <c r="AP71" s="60">
        <f t="shared" si="80"/>
        <v>0</v>
      </c>
      <c r="AR71" s="60">
        <f t="shared" si="81"/>
        <v>16470</v>
      </c>
      <c r="AS71" s="60">
        <f t="shared" si="73"/>
        <v>0</v>
      </c>
      <c r="AT71" s="60">
        <f t="shared" si="73"/>
        <v>0</v>
      </c>
      <c r="AU71" s="60">
        <f t="shared" si="73"/>
        <v>0</v>
      </c>
      <c r="AV71" s="60">
        <f t="shared" si="82"/>
        <v>16470</v>
      </c>
    </row>
    <row r="72" spans="1:48" x14ac:dyDescent="0.25">
      <c r="A72" s="21" t="s">
        <v>64</v>
      </c>
      <c r="B72" s="61">
        <v>393521</v>
      </c>
      <c r="C72" s="61"/>
      <c r="D72" s="61"/>
      <c r="E72" s="61"/>
      <c r="F72" s="60">
        <f t="shared" si="74"/>
        <v>393521</v>
      </c>
      <c r="H72" s="61">
        <v>385109</v>
      </c>
      <c r="I72" s="61"/>
      <c r="J72" s="61"/>
      <c r="K72" s="61"/>
      <c r="L72" s="60">
        <f t="shared" si="75"/>
        <v>385109</v>
      </c>
      <c r="N72" s="61">
        <v>873329</v>
      </c>
      <c r="O72" s="61"/>
      <c r="P72" s="61"/>
      <c r="Q72" s="61"/>
      <c r="R72" s="60">
        <f t="shared" si="76"/>
        <v>873329</v>
      </c>
      <c r="T72" s="61">
        <f>270*450</f>
        <v>121500</v>
      </c>
      <c r="U72" s="61"/>
      <c r="V72" s="61"/>
      <c r="W72" s="61"/>
      <c r="X72" s="60">
        <f t="shared" si="77"/>
        <v>121500</v>
      </c>
      <c r="Y72" s="194"/>
      <c r="Z72" s="61">
        <v>0</v>
      </c>
      <c r="AA72" s="61"/>
      <c r="AB72" s="61"/>
      <c r="AC72" s="61"/>
      <c r="AD72" s="60">
        <f t="shared" si="78"/>
        <v>0</v>
      </c>
      <c r="AE72" s="194"/>
      <c r="AF72" s="61">
        <v>200000</v>
      </c>
      <c r="AG72" s="61"/>
      <c r="AH72" s="61"/>
      <c r="AI72" s="61"/>
      <c r="AJ72" s="60">
        <f t="shared" si="79"/>
        <v>200000</v>
      </c>
      <c r="AL72" s="61"/>
      <c r="AM72" s="61"/>
      <c r="AN72" s="61"/>
      <c r="AO72" s="61"/>
      <c r="AP72" s="60">
        <f t="shared" si="80"/>
        <v>0</v>
      </c>
      <c r="AR72" s="60">
        <f t="shared" si="81"/>
        <v>1973459</v>
      </c>
      <c r="AS72" s="60">
        <f t="shared" si="73"/>
        <v>0</v>
      </c>
      <c r="AT72" s="60">
        <f t="shared" si="73"/>
        <v>0</v>
      </c>
      <c r="AU72" s="60">
        <f t="shared" si="73"/>
        <v>0</v>
      </c>
      <c r="AV72" s="60">
        <f t="shared" si="82"/>
        <v>1973459</v>
      </c>
    </row>
    <row r="73" spans="1:48" x14ac:dyDescent="0.25">
      <c r="A73" s="21" t="s">
        <v>65</v>
      </c>
      <c r="B73" s="61"/>
      <c r="C73" s="62">
        <v>386750</v>
      </c>
      <c r="D73" s="61"/>
      <c r="E73" s="61"/>
      <c r="F73" s="60">
        <f t="shared" si="74"/>
        <v>386750</v>
      </c>
      <c r="H73" s="61"/>
      <c r="I73" s="62">
        <v>386750</v>
      </c>
      <c r="J73" s="61"/>
      <c r="K73" s="61"/>
      <c r="L73" s="60">
        <f t="shared" si="75"/>
        <v>386750</v>
      </c>
      <c r="N73" s="61"/>
      <c r="O73" s="62">
        <v>914000</v>
      </c>
      <c r="P73" s="61"/>
      <c r="Q73" s="61"/>
      <c r="R73" s="60">
        <f t="shared" si="76"/>
        <v>914000</v>
      </c>
      <c r="T73" s="61"/>
      <c r="U73" s="61"/>
      <c r="V73" s="61"/>
      <c r="W73" s="61"/>
      <c r="X73" s="60">
        <f t="shared" si="77"/>
        <v>0</v>
      </c>
      <c r="Y73" s="194"/>
      <c r="Z73" s="61"/>
      <c r="AA73" s="61"/>
      <c r="AB73" s="61"/>
      <c r="AC73" s="61"/>
      <c r="AD73" s="60">
        <f t="shared" si="78"/>
        <v>0</v>
      </c>
      <c r="AE73" s="194"/>
      <c r="AF73" s="61"/>
      <c r="AG73" s="61"/>
      <c r="AH73" s="61"/>
      <c r="AI73" s="61"/>
      <c r="AJ73" s="60">
        <f t="shared" si="79"/>
        <v>0</v>
      </c>
      <c r="AL73" s="61"/>
      <c r="AM73" s="61"/>
      <c r="AN73" s="61"/>
      <c r="AO73" s="61"/>
      <c r="AP73" s="60">
        <f t="shared" si="80"/>
        <v>0</v>
      </c>
      <c r="AR73" s="60">
        <f t="shared" si="81"/>
        <v>0</v>
      </c>
      <c r="AS73" s="60">
        <f t="shared" si="73"/>
        <v>1687500</v>
      </c>
      <c r="AT73" s="60">
        <f t="shared" si="73"/>
        <v>0</v>
      </c>
      <c r="AU73" s="60">
        <f t="shared" si="73"/>
        <v>0</v>
      </c>
      <c r="AV73" s="60">
        <f t="shared" si="82"/>
        <v>1687500</v>
      </c>
    </row>
    <row r="74" spans="1:48" x14ac:dyDescent="0.25">
      <c r="A74" s="21" t="s">
        <v>66</v>
      </c>
      <c r="B74" s="63"/>
      <c r="C74" s="63">
        <f>4236*C21</f>
        <v>444780</v>
      </c>
      <c r="D74" s="63"/>
      <c r="E74" s="63"/>
      <c r="F74" s="60">
        <f t="shared" si="74"/>
        <v>444780</v>
      </c>
      <c r="H74" s="63"/>
      <c r="I74" s="63">
        <f>4236*I21</f>
        <v>444780</v>
      </c>
      <c r="J74" s="63"/>
      <c r="K74" s="63"/>
      <c r="L74" s="60">
        <f t="shared" si="75"/>
        <v>444780</v>
      </c>
      <c r="N74" s="63"/>
      <c r="O74" s="63">
        <f>4236*O21</f>
        <v>1143720</v>
      </c>
      <c r="P74" s="63"/>
      <c r="Q74" s="63"/>
      <c r="R74" s="60">
        <f t="shared" si="76"/>
        <v>1143720</v>
      </c>
      <c r="T74" s="61"/>
      <c r="U74" s="61">
        <f>U21*4200</f>
        <v>252000</v>
      </c>
      <c r="V74" s="61"/>
      <c r="W74" s="61"/>
      <c r="X74" s="60">
        <f t="shared" si="77"/>
        <v>252000</v>
      </c>
      <c r="Y74" s="194"/>
      <c r="Z74" s="61"/>
      <c r="AA74" s="61">
        <f>4200*AA21</f>
        <v>546000</v>
      </c>
      <c r="AB74" s="61"/>
      <c r="AC74" s="61"/>
      <c r="AD74" s="60">
        <f t="shared" si="78"/>
        <v>546000</v>
      </c>
      <c r="AE74" s="194"/>
      <c r="AF74" s="61"/>
      <c r="AG74" s="61">
        <f>4100*AG21</f>
        <v>512500</v>
      </c>
      <c r="AH74" s="61"/>
      <c r="AI74" s="61"/>
      <c r="AJ74" s="60">
        <f t="shared" si="79"/>
        <v>512500</v>
      </c>
      <c r="AL74" s="61"/>
      <c r="AM74" s="61"/>
      <c r="AN74" s="61"/>
      <c r="AO74" s="61"/>
      <c r="AP74" s="60">
        <f t="shared" si="80"/>
        <v>0</v>
      </c>
      <c r="AR74" s="60">
        <f t="shared" si="81"/>
        <v>0</v>
      </c>
      <c r="AS74" s="60">
        <f t="shared" si="73"/>
        <v>3343780</v>
      </c>
      <c r="AT74" s="60">
        <f t="shared" si="73"/>
        <v>0</v>
      </c>
      <c r="AU74" s="60">
        <f t="shared" si="73"/>
        <v>0</v>
      </c>
      <c r="AV74" s="60">
        <f t="shared" si="82"/>
        <v>3343780</v>
      </c>
    </row>
    <row r="75" spans="1:48" x14ac:dyDescent="0.25">
      <c r="A75" s="21" t="s">
        <v>67</v>
      </c>
      <c r="B75" s="63"/>
      <c r="C75" s="63">
        <v>105981</v>
      </c>
      <c r="D75" s="63"/>
      <c r="E75" s="63"/>
      <c r="F75" s="60">
        <f t="shared" si="74"/>
        <v>105981</v>
      </c>
      <c r="H75" s="63"/>
      <c r="I75" s="63">
        <v>105981</v>
      </c>
      <c r="J75" s="63"/>
      <c r="K75" s="63"/>
      <c r="L75" s="60">
        <f t="shared" si="75"/>
        <v>105981</v>
      </c>
      <c r="N75" s="63"/>
      <c r="O75" s="63">
        <v>239137</v>
      </c>
      <c r="P75" s="63"/>
      <c r="Q75" s="63"/>
      <c r="R75" s="60">
        <f t="shared" si="76"/>
        <v>239137</v>
      </c>
      <c r="T75" s="61"/>
      <c r="U75" s="63">
        <f>952*U21</f>
        <v>57120</v>
      </c>
      <c r="V75" s="61"/>
      <c r="W75" s="61"/>
      <c r="X75" s="60">
        <f t="shared" si="77"/>
        <v>57120</v>
      </c>
      <c r="Y75" s="194"/>
      <c r="Z75" s="61"/>
      <c r="AA75" s="63">
        <f>951*AA21</f>
        <v>123630</v>
      </c>
      <c r="AB75" s="61"/>
      <c r="AC75" s="61"/>
      <c r="AD75" s="60">
        <f t="shared" si="78"/>
        <v>123630</v>
      </c>
      <c r="AE75" s="194"/>
      <c r="AF75" s="61"/>
      <c r="AG75" s="63">
        <f>951*AG21</f>
        <v>118875</v>
      </c>
      <c r="AH75" s="61"/>
      <c r="AI75" s="61"/>
      <c r="AJ75" s="60">
        <f t="shared" si="79"/>
        <v>118875</v>
      </c>
      <c r="AL75" s="61"/>
      <c r="AM75" s="61"/>
      <c r="AN75" s="61"/>
      <c r="AO75" s="61"/>
      <c r="AP75" s="60">
        <f t="shared" si="80"/>
        <v>0</v>
      </c>
      <c r="AR75" s="60">
        <f t="shared" si="81"/>
        <v>0</v>
      </c>
      <c r="AS75" s="60">
        <f t="shared" si="73"/>
        <v>750724</v>
      </c>
      <c r="AT75" s="60">
        <f t="shared" si="73"/>
        <v>0</v>
      </c>
      <c r="AU75" s="60">
        <f t="shared" si="73"/>
        <v>0</v>
      </c>
      <c r="AV75" s="60">
        <f t="shared" si="82"/>
        <v>750724</v>
      </c>
    </row>
    <row r="76" spans="1:48" x14ac:dyDescent="0.25">
      <c r="A76" s="21" t="s">
        <v>68</v>
      </c>
      <c r="B76" s="61">
        <v>70000</v>
      </c>
      <c r="C76" s="63"/>
      <c r="D76" s="63"/>
      <c r="E76" s="63"/>
      <c r="F76" s="60">
        <f t="shared" si="74"/>
        <v>70000</v>
      </c>
      <c r="H76" s="61">
        <v>70000</v>
      </c>
      <c r="I76" s="63"/>
      <c r="J76" s="63"/>
      <c r="K76" s="63"/>
      <c r="L76" s="60">
        <f t="shared" si="75"/>
        <v>70000</v>
      </c>
      <c r="N76" s="61">
        <v>70000</v>
      </c>
      <c r="O76" s="63"/>
      <c r="P76" s="63"/>
      <c r="Q76" s="63"/>
      <c r="R76" s="60">
        <f t="shared" si="76"/>
        <v>70000</v>
      </c>
      <c r="T76" s="61">
        <v>35000</v>
      </c>
      <c r="U76" s="61"/>
      <c r="V76" s="61"/>
      <c r="W76" s="61"/>
      <c r="X76" s="60">
        <f t="shared" si="77"/>
        <v>35000</v>
      </c>
      <c r="Y76" s="194"/>
      <c r="Z76" s="61">
        <v>20000</v>
      </c>
      <c r="AA76" s="61"/>
      <c r="AB76" s="61"/>
      <c r="AC76" s="61"/>
      <c r="AD76" s="60">
        <f t="shared" si="78"/>
        <v>20000</v>
      </c>
      <c r="AE76" s="194"/>
      <c r="AF76" s="61">
        <v>0</v>
      </c>
      <c r="AG76" s="61"/>
      <c r="AH76" s="61"/>
      <c r="AI76" s="61"/>
      <c r="AJ76" s="60">
        <f t="shared" si="79"/>
        <v>0</v>
      </c>
      <c r="AL76" s="61"/>
      <c r="AM76" s="61"/>
      <c r="AN76" s="61"/>
      <c r="AO76" s="61"/>
      <c r="AP76" s="60">
        <f t="shared" si="80"/>
        <v>0</v>
      </c>
      <c r="AR76" s="60">
        <f t="shared" si="81"/>
        <v>265000</v>
      </c>
      <c r="AS76" s="60">
        <f t="shared" si="73"/>
        <v>0</v>
      </c>
      <c r="AT76" s="60">
        <f t="shared" si="73"/>
        <v>0</v>
      </c>
      <c r="AU76" s="60">
        <f t="shared" si="73"/>
        <v>0</v>
      </c>
      <c r="AV76" s="60">
        <f t="shared" si="82"/>
        <v>265000</v>
      </c>
    </row>
    <row r="77" spans="1:48" x14ac:dyDescent="0.25">
      <c r="A77" s="21" t="s">
        <v>69</v>
      </c>
      <c r="B77" s="63"/>
      <c r="C77" s="63"/>
      <c r="D77" s="63"/>
      <c r="E77" s="63"/>
      <c r="F77" s="60">
        <f t="shared" si="74"/>
        <v>0</v>
      </c>
      <c r="H77" s="63"/>
      <c r="I77" s="63"/>
      <c r="J77" s="63"/>
      <c r="K77" s="63"/>
      <c r="L77" s="60">
        <f t="shared" si="75"/>
        <v>0</v>
      </c>
      <c r="N77" s="63"/>
      <c r="O77" s="63"/>
      <c r="P77" s="63"/>
      <c r="Q77" s="63"/>
      <c r="R77" s="60">
        <f t="shared" si="76"/>
        <v>0</v>
      </c>
      <c r="T77" s="61"/>
      <c r="U77" s="61"/>
      <c r="V77" s="61"/>
      <c r="W77" s="61"/>
      <c r="X77" s="60">
        <f t="shared" si="77"/>
        <v>0</v>
      </c>
      <c r="Y77" s="194"/>
      <c r="Z77" s="61"/>
      <c r="AA77" s="61"/>
      <c r="AB77" s="61"/>
      <c r="AC77" s="61"/>
      <c r="AD77" s="60">
        <f t="shared" si="78"/>
        <v>0</v>
      </c>
      <c r="AE77" s="194"/>
      <c r="AF77" s="61"/>
      <c r="AG77" s="61"/>
      <c r="AH77" s="61"/>
      <c r="AI77" s="61"/>
      <c r="AJ77" s="60">
        <f t="shared" si="79"/>
        <v>0</v>
      </c>
      <c r="AL77" s="61"/>
      <c r="AM77" s="61"/>
      <c r="AN77" s="61"/>
      <c r="AO77" s="61">
        <v>1993322</v>
      </c>
      <c r="AP77" s="60">
        <f t="shared" si="80"/>
        <v>1993322</v>
      </c>
      <c r="AR77" s="60">
        <f t="shared" si="81"/>
        <v>0</v>
      </c>
      <c r="AS77" s="60">
        <f t="shared" si="73"/>
        <v>0</v>
      </c>
      <c r="AT77" s="60">
        <f t="shared" si="73"/>
        <v>0</v>
      </c>
      <c r="AU77" s="60">
        <f t="shared" si="73"/>
        <v>1993322</v>
      </c>
      <c r="AV77" s="60">
        <f t="shared" si="82"/>
        <v>1993322</v>
      </c>
    </row>
    <row r="78" spans="1:48" x14ac:dyDescent="0.25">
      <c r="A78" s="21" t="s">
        <v>70</v>
      </c>
      <c r="B78" s="63"/>
      <c r="C78" s="63"/>
      <c r="D78" s="63"/>
      <c r="E78" s="63"/>
      <c r="F78" s="60">
        <f t="shared" si="74"/>
        <v>0</v>
      </c>
      <c r="H78" s="63"/>
      <c r="I78" s="63"/>
      <c r="J78" s="63"/>
      <c r="K78" s="63"/>
      <c r="L78" s="60">
        <f t="shared" si="75"/>
        <v>0</v>
      </c>
      <c r="N78" s="63"/>
      <c r="O78" s="63"/>
      <c r="P78" s="63"/>
      <c r="Q78" s="63"/>
      <c r="R78" s="60">
        <f t="shared" si="76"/>
        <v>0</v>
      </c>
      <c r="T78" s="61"/>
      <c r="U78" s="61"/>
      <c r="V78" s="61"/>
      <c r="W78" s="61"/>
      <c r="X78" s="60">
        <f t="shared" si="77"/>
        <v>0</v>
      </c>
      <c r="Y78" s="194"/>
      <c r="Z78" s="61"/>
      <c r="AA78" s="61"/>
      <c r="AB78" s="61"/>
      <c r="AC78" s="61"/>
      <c r="AD78" s="60">
        <f t="shared" si="78"/>
        <v>0</v>
      </c>
      <c r="AE78" s="194"/>
      <c r="AF78" s="61"/>
      <c r="AG78" s="61"/>
      <c r="AH78" s="61"/>
      <c r="AI78" s="61"/>
      <c r="AJ78" s="60">
        <f t="shared" si="79"/>
        <v>0</v>
      </c>
      <c r="AL78" s="61"/>
      <c r="AM78" s="61"/>
      <c r="AN78" s="61"/>
      <c r="AO78" s="61"/>
      <c r="AP78" s="60">
        <f t="shared" si="80"/>
        <v>0</v>
      </c>
      <c r="AR78" s="60">
        <f t="shared" si="81"/>
        <v>0</v>
      </c>
      <c r="AS78" s="60">
        <f t="shared" si="73"/>
        <v>0</v>
      </c>
      <c r="AT78" s="60">
        <f t="shared" si="73"/>
        <v>0</v>
      </c>
      <c r="AU78" s="60">
        <f t="shared" si="73"/>
        <v>0</v>
      </c>
      <c r="AV78" s="60">
        <f t="shared" si="82"/>
        <v>0</v>
      </c>
    </row>
    <row r="79" spans="1:48" x14ac:dyDescent="0.25">
      <c r="A79" s="21" t="s">
        <v>71</v>
      </c>
      <c r="B79" s="63"/>
      <c r="C79" s="63"/>
      <c r="D79" s="63"/>
      <c r="E79" s="63"/>
      <c r="F79" s="60">
        <f t="shared" si="74"/>
        <v>0</v>
      </c>
      <c r="H79" s="63"/>
      <c r="I79" s="63"/>
      <c r="J79" s="63"/>
      <c r="K79" s="63"/>
      <c r="L79" s="60">
        <f t="shared" si="75"/>
        <v>0</v>
      </c>
      <c r="N79" s="63"/>
      <c r="O79" s="63"/>
      <c r="P79" s="63"/>
      <c r="Q79" s="63"/>
      <c r="R79" s="60">
        <f t="shared" si="76"/>
        <v>0</v>
      </c>
      <c r="T79" s="61"/>
      <c r="U79" s="61"/>
      <c r="V79" s="61"/>
      <c r="W79" s="61"/>
      <c r="X79" s="60">
        <f t="shared" si="77"/>
        <v>0</v>
      </c>
      <c r="Y79" s="194"/>
      <c r="Z79" s="61"/>
      <c r="AA79" s="61"/>
      <c r="AB79" s="61"/>
      <c r="AC79" s="61"/>
      <c r="AD79" s="60">
        <f t="shared" si="78"/>
        <v>0</v>
      </c>
      <c r="AE79" s="194"/>
      <c r="AF79" s="61"/>
      <c r="AG79" s="61"/>
      <c r="AH79" s="61"/>
      <c r="AI79" s="61"/>
      <c r="AJ79" s="60">
        <f t="shared" si="79"/>
        <v>0</v>
      </c>
      <c r="AL79" s="61"/>
      <c r="AM79" s="61"/>
      <c r="AN79" s="61"/>
      <c r="AO79" s="61"/>
      <c r="AP79" s="60">
        <f t="shared" si="80"/>
        <v>0</v>
      </c>
      <c r="AR79" s="60">
        <f t="shared" si="81"/>
        <v>0</v>
      </c>
      <c r="AS79" s="60">
        <f t="shared" si="73"/>
        <v>0</v>
      </c>
      <c r="AT79" s="60">
        <f t="shared" si="73"/>
        <v>0</v>
      </c>
      <c r="AU79" s="60">
        <f t="shared" si="73"/>
        <v>0</v>
      </c>
      <c r="AV79" s="60">
        <f t="shared" si="82"/>
        <v>0</v>
      </c>
    </row>
    <row r="80" spans="1:48" x14ac:dyDescent="0.25">
      <c r="A80" s="21" t="s">
        <v>72</v>
      </c>
      <c r="B80" s="63"/>
      <c r="C80" s="63"/>
      <c r="D80" s="61">
        <f>(((950*0.9923)*180)*3.09)+(((950*0.0077)*180)*0.46)</f>
        <v>524927.07900000003</v>
      </c>
      <c r="E80" s="63"/>
      <c r="F80" s="60">
        <f t="shared" si="74"/>
        <v>524927.07900000003</v>
      </c>
      <c r="H80" s="63"/>
      <c r="I80" s="63"/>
      <c r="J80" s="61">
        <f>(((875*0.9923)*180)*3.09)+(((875*0.0077)*180)*0.46)</f>
        <v>483485.46749999997</v>
      </c>
      <c r="K80" s="63"/>
      <c r="L80" s="60">
        <f t="shared" si="75"/>
        <v>483485.46749999997</v>
      </c>
      <c r="N80" s="63"/>
      <c r="O80" s="63"/>
      <c r="P80" s="61">
        <f>(((1100*0.9923)*180)*3.09)+(((1100*0.0077)*180)*0.47)</f>
        <v>607825.54799999995</v>
      </c>
      <c r="Q80" s="63"/>
      <c r="R80" s="60">
        <f t="shared" si="76"/>
        <v>607825.54799999995</v>
      </c>
      <c r="T80" s="61"/>
      <c r="U80" s="61"/>
      <c r="V80" s="61">
        <f>330*3*180</f>
        <v>178200</v>
      </c>
      <c r="W80" s="61"/>
      <c r="X80" s="60">
        <f t="shared" si="77"/>
        <v>178200</v>
      </c>
      <c r="Y80" s="194"/>
      <c r="Z80" s="61"/>
      <c r="AA80" s="61"/>
      <c r="AB80" s="61">
        <f>800*2.55*180</f>
        <v>367199.99999999994</v>
      </c>
      <c r="AC80" s="61"/>
      <c r="AD80" s="60">
        <f t="shared" si="78"/>
        <v>367199.99999999994</v>
      </c>
      <c r="AE80" s="194"/>
      <c r="AF80" s="61"/>
      <c r="AG80" s="61"/>
      <c r="AH80" s="61">
        <f>650*2.4*180</f>
        <v>280800</v>
      </c>
      <c r="AI80" s="61"/>
      <c r="AJ80" s="60">
        <f t="shared" si="79"/>
        <v>280800</v>
      </c>
      <c r="AL80" s="61"/>
      <c r="AM80" s="61"/>
      <c r="AN80" s="61"/>
      <c r="AO80" s="61"/>
      <c r="AP80" s="60">
        <f t="shared" si="80"/>
        <v>0</v>
      </c>
      <c r="AR80" s="60">
        <f t="shared" si="81"/>
        <v>0</v>
      </c>
      <c r="AS80" s="60">
        <f t="shared" si="73"/>
        <v>0</v>
      </c>
      <c r="AT80" s="60">
        <f t="shared" si="73"/>
        <v>2442438.0944999997</v>
      </c>
      <c r="AU80" s="60">
        <f t="shared" si="73"/>
        <v>0</v>
      </c>
      <c r="AV80" s="60">
        <f t="shared" si="82"/>
        <v>2442438.0944999997</v>
      </c>
    </row>
    <row r="81" spans="1:48" x14ac:dyDescent="0.25">
      <c r="A81" s="22" t="s">
        <v>73</v>
      </c>
      <c r="B81" s="64"/>
      <c r="C81" s="64"/>
      <c r="D81" s="61">
        <f>(((805*0.9923)*4.77)*180)+(((805*0.0077)*0.76)*180)</f>
        <v>686698.92269999976</v>
      </c>
      <c r="E81" s="64"/>
      <c r="F81" s="60">
        <f t="shared" si="74"/>
        <v>686698.92269999976</v>
      </c>
      <c r="H81" s="64"/>
      <c r="I81" s="64"/>
      <c r="J81" s="61">
        <f>(((600*0.9923)*4.77)*180)+(((600*0.0077)*0.76)*180)</f>
        <v>511825.28399999999</v>
      </c>
      <c r="K81" s="64"/>
      <c r="L81" s="60">
        <f t="shared" si="75"/>
        <v>511825.28399999999</v>
      </c>
      <c r="N81" s="64"/>
      <c r="O81" s="64"/>
      <c r="P81" s="61">
        <f>(((1100*0.9923)*4.77)*180)+(((1100*0.0077)*0.76)*180)</f>
        <v>938346.35399999982</v>
      </c>
      <c r="Q81" s="64"/>
      <c r="R81" s="60">
        <f t="shared" si="76"/>
        <v>938346.35399999982</v>
      </c>
      <c r="T81" s="91"/>
      <c r="U81" s="91"/>
      <c r="V81" s="61">
        <f>330*4.75*180</f>
        <v>282150</v>
      </c>
      <c r="W81" s="91"/>
      <c r="X81" s="60">
        <f t="shared" si="77"/>
        <v>282150</v>
      </c>
      <c r="Y81" s="194"/>
      <c r="Z81" s="91"/>
      <c r="AA81" s="91"/>
      <c r="AB81" s="61">
        <f>830*4.6*180</f>
        <v>687239.99999999988</v>
      </c>
      <c r="AC81" s="91"/>
      <c r="AD81" s="60">
        <f t="shared" si="78"/>
        <v>687239.99999999988</v>
      </c>
      <c r="AE81" s="194"/>
      <c r="AF81" s="91"/>
      <c r="AG81" s="91"/>
      <c r="AH81" s="61">
        <f>650*4.45*180</f>
        <v>520650</v>
      </c>
      <c r="AI81" s="91"/>
      <c r="AJ81" s="60">
        <f t="shared" si="79"/>
        <v>520650</v>
      </c>
      <c r="AL81" s="91"/>
      <c r="AM81" s="91"/>
      <c r="AN81" s="61"/>
      <c r="AO81" s="91"/>
      <c r="AP81" s="60">
        <f t="shared" si="80"/>
        <v>0</v>
      </c>
      <c r="AR81" s="60">
        <f t="shared" si="81"/>
        <v>0</v>
      </c>
      <c r="AS81" s="60">
        <f t="shared" si="73"/>
        <v>0</v>
      </c>
      <c r="AT81" s="60">
        <f t="shared" si="73"/>
        <v>3626910.5606999993</v>
      </c>
      <c r="AU81" s="60">
        <f t="shared" si="73"/>
        <v>0</v>
      </c>
      <c r="AV81" s="60">
        <f t="shared" si="82"/>
        <v>3626910.5606999993</v>
      </c>
    </row>
    <row r="82" spans="1:48" x14ac:dyDescent="0.25">
      <c r="A82" s="23"/>
      <c r="B82" s="65">
        <f>SUM(B68:B81)</f>
        <v>12510448.5</v>
      </c>
      <c r="C82" s="65">
        <f t="shared" ref="C82:F82" si="83">SUM(C68:C81)</f>
        <v>937511</v>
      </c>
      <c r="D82" s="65">
        <f t="shared" si="83"/>
        <v>1211626.0016999999</v>
      </c>
      <c r="E82" s="65">
        <f t="shared" si="83"/>
        <v>0</v>
      </c>
      <c r="F82" s="65">
        <f t="shared" si="83"/>
        <v>14659585.501699999</v>
      </c>
      <c r="H82" s="65">
        <f>SUM(H68:H81)</f>
        <v>12502036.5</v>
      </c>
      <c r="I82" s="65">
        <f t="shared" ref="I82:L82" si="84">SUM(I68:I81)</f>
        <v>937511</v>
      </c>
      <c r="J82" s="65">
        <f t="shared" si="84"/>
        <v>995310.75150000001</v>
      </c>
      <c r="K82" s="65">
        <f t="shared" si="84"/>
        <v>0</v>
      </c>
      <c r="L82" s="65">
        <f t="shared" si="84"/>
        <v>14434858.251499999</v>
      </c>
      <c r="N82" s="65">
        <f>SUM(N68:N81)</f>
        <v>29751552.75</v>
      </c>
      <c r="O82" s="65">
        <f t="shared" ref="O82:R82" si="85">SUM(O68:O81)</f>
        <v>2296857</v>
      </c>
      <c r="P82" s="65">
        <f t="shared" si="85"/>
        <v>1546171.9019999998</v>
      </c>
      <c r="Q82" s="65">
        <f t="shared" si="85"/>
        <v>0</v>
      </c>
      <c r="R82" s="65">
        <f t="shared" si="85"/>
        <v>33594581.652000003</v>
      </c>
      <c r="T82" s="65">
        <f t="shared" ref="T82:X82" si="86">SUM(T68:T81)</f>
        <v>5988095</v>
      </c>
      <c r="U82" s="65">
        <f t="shared" si="86"/>
        <v>309120</v>
      </c>
      <c r="V82" s="65">
        <f t="shared" si="86"/>
        <v>460350</v>
      </c>
      <c r="W82" s="65">
        <f t="shared" si="86"/>
        <v>0</v>
      </c>
      <c r="X82" s="65">
        <f t="shared" si="86"/>
        <v>6757565</v>
      </c>
      <c r="Y82" s="199"/>
      <c r="Z82" s="65">
        <f t="shared" ref="Z82:AD82" si="87">SUM(Z68:Z81)</f>
        <v>15575088.125</v>
      </c>
      <c r="AA82" s="65">
        <f t="shared" si="87"/>
        <v>669630</v>
      </c>
      <c r="AB82" s="65">
        <f t="shared" si="87"/>
        <v>1054439.9999999998</v>
      </c>
      <c r="AC82" s="65">
        <f t="shared" si="87"/>
        <v>0</v>
      </c>
      <c r="AD82" s="65">
        <f t="shared" si="87"/>
        <v>17299158.125</v>
      </c>
      <c r="AE82" s="199"/>
      <c r="AF82" s="65">
        <f t="shared" ref="AF82:AJ82" si="88">SUM(AF68:AF81)</f>
        <v>12100266.875</v>
      </c>
      <c r="AG82" s="65">
        <f t="shared" si="88"/>
        <v>631375</v>
      </c>
      <c r="AH82" s="65">
        <f t="shared" si="88"/>
        <v>801450</v>
      </c>
      <c r="AI82" s="65">
        <f t="shared" si="88"/>
        <v>0</v>
      </c>
      <c r="AJ82" s="65">
        <f t="shared" si="88"/>
        <v>13533091.875</v>
      </c>
      <c r="AL82" s="65">
        <f>SUM(AL68:AL81)</f>
        <v>0</v>
      </c>
      <c r="AM82" s="65">
        <f t="shared" ref="AM82:AP82" si="89">SUM(AM68:AM81)</f>
        <v>0</v>
      </c>
      <c r="AN82" s="65">
        <f t="shared" si="89"/>
        <v>0</v>
      </c>
      <c r="AO82" s="65">
        <f t="shared" si="89"/>
        <v>1993322</v>
      </c>
      <c r="AP82" s="65">
        <f t="shared" si="89"/>
        <v>1993322</v>
      </c>
      <c r="AR82" s="65">
        <f>SUM(AR68:AR81)</f>
        <v>88427487.75</v>
      </c>
      <c r="AS82" s="65">
        <f t="shared" ref="AS82:AV82" si="90">SUM(AS68:AS81)</f>
        <v>5782004</v>
      </c>
      <c r="AT82" s="65">
        <f t="shared" si="90"/>
        <v>6069348.655199999</v>
      </c>
      <c r="AU82" s="65">
        <f t="shared" si="90"/>
        <v>1993322</v>
      </c>
      <c r="AV82" s="65">
        <f t="shared" si="90"/>
        <v>102272162.4052</v>
      </c>
    </row>
    <row r="83" spans="1:48" x14ac:dyDescent="0.25">
      <c r="B83" s="57"/>
      <c r="C83" s="57"/>
      <c r="D83" s="57"/>
      <c r="E83" s="57"/>
      <c r="F83" s="57"/>
      <c r="H83" s="57"/>
      <c r="I83" s="57"/>
      <c r="J83" s="57"/>
      <c r="K83" s="57"/>
      <c r="L83" s="57"/>
      <c r="N83" s="57"/>
      <c r="O83" s="57"/>
      <c r="P83" s="57"/>
      <c r="Q83" s="57"/>
      <c r="R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L83" s="57"/>
      <c r="AM83" s="57"/>
      <c r="AN83" s="57"/>
      <c r="AO83" s="57"/>
      <c r="AP83" s="57"/>
      <c r="AR83" s="57"/>
      <c r="AS83" s="57"/>
      <c r="AT83" s="57"/>
      <c r="AU83" s="57"/>
      <c r="AV83" s="57"/>
    </row>
    <row r="84" spans="1:48" x14ac:dyDescent="0.25">
      <c r="A84" s="24"/>
      <c r="B84" s="66" t="s">
        <v>157</v>
      </c>
      <c r="C84" s="66" t="s">
        <v>158</v>
      </c>
      <c r="D84" s="66" t="s">
        <v>159</v>
      </c>
      <c r="E84" s="67" t="str">
        <f>E67</f>
        <v>Other</v>
      </c>
      <c r="F84" s="67" t="str">
        <f>F67</f>
        <v>FY31- Mtn</v>
      </c>
      <c r="H84" s="66" t="s">
        <v>157</v>
      </c>
      <c r="I84" s="66" t="s">
        <v>158</v>
      </c>
      <c r="J84" s="66" t="s">
        <v>159</v>
      </c>
      <c r="K84" s="67" t="str">
        <f>K67</f>
        <v>Other</v>
      </c>
      <c r="L84" s="67" t="str">
        <f>L67</f>
        <v>FY31- Bon</v>
      </c>
      <c r="N84" s="66" t="s">
        <v>157</v>
      </c>
      <c r="O84" s="66" t="s">
        <v>158</v>
      </c>
      <c r="P84" s="66" t="s">
        <v>159</v>
      </c>
      <c r="Q84" s="67" t="str">
        <f>Q67</f>
        <v>Other</v>
      </c>
      <c r="R84" s="67" t="str">
        <f>R67</f>
        <v>FY31- East</v>
      </c>
      <c r="T84" s="66" t="s">
        <v>157</v>
      </c>
      <c r="U84" s="66" t="s">
        <v>158</v>
      </c>
      <c r="V84" s="66" t="s">
        <v>159</v>
      </c>
      <c r="W84" s="67" t="str">
        <f>W67</f>
        <v>Other</v>
      </c>
      <c r="X84" s="67" t="str">
        <f>X67</f>
        <v>FY31- Cactus</v>
      </c>
      <c r="Y84" s="198"/>
      <c r="Z84" s="66" t="s">
        <v>157</v>
      </c>
      <c r="AA84" s="66" t="s">
        <v>158</v>
      </c>
      <c r="AB84" s="66" t="s">
        <v>159</v>
      </c>
      <c r="AC84" s="67" t="str">
        <f>AC67</f>
        <v>Other</v>
      </c>
      <c r="AD84" s="67" t="str">
        <f>AD67</f>
        <v>FY31- Sahara</v>
      </c>
      <c r="AE84" s="198"/>
      <c r="AF84" s="66" t="s">
        <v>157</v>
      </c>
      <c r="AG84" s="66" t="s">
        <v>158</v>
      </c>
      <c r="AH84" s="66" t="s">
        <v>159</v>
      </c>
      <c r="AI84" s="67" t="str">
        <f>AI67</f>
        <v>Other</v>
      </c>
      <c r="AJ84" s="67" t="str">
        <f>AJ67</f>
        <v>FY31- VV</v>
      </c>
      <c r="AL84" s="66" t="s">
        <v>157</v>
      </c>
      <c r="AM84" s="66" t="s">
        <v>158</v>
      </c>
      <c r="AN84" s="66" t="s">
        <v>159</v>
      </c>
      <c r="AO84" s="67" t="str">
        <f>AO67</f>
        <v>Grant</v>
      </c>
      <c r="AP84" s="67" t="str">
        <f>AP67</f>
        <v>FY31 - Central</v>
      </c>
      <c r="AR84" s="66" t="s">
        <v>157</v>
      </c>
      <c r="AS84" s="66" t="s">
        <v>158</v>
      </c>
      <c r="AT84" s="66" t="s">
        <v>159</v>
      </c>
      <c r="AU84" s="67" t="str">
        <f>AU67</f>
        <v>Other</v>
      </c>
      <c r="AV84" s="67" t="str">
        <f>AV67</f>
        <v>FY31- Sys</v>
      </c>
    </row>
    <row r="85" spans="1:48" x14ac:dyDescent="0.25">
      <c r="A85" s="20" t="s">
        <v>74</v>
      </c>
      <c r="B85" s="68"/>
      <c r="C85" s="68"/>
      <c r="D85" s="68"/>
      <c r="E85" s="68"/>
      <c r="F85" s="68"/>
      <c r="H85" s="68"/>
      <c r="I85" s="68"/>
      <c r="J85" s="68"/>
      <c r="K85" s="68"/>
      <c r="L85" s="68"/>
      <c r="N85" s="75"/>
      <c r="O85" s="75"/>
      <c r="P85" s="75"/>
      <c r="Q85" s="75"/>
      <c r="R85" s="75">
        <f>SUM(N85:Q85)</f>
        <v>0</v>
      </c>
      <c r="T85" s="68"/>
      <c r="U85" s="68"/>
      <c r="V85" s="68"/>
      <c r="W85" s="68"/>
      <c r="X85" s="68"/>
      <c r="Y85" s="57"/>
      <c r="Z85" s="68"/>
      <c r="AA85" s="68"/>
      <c r="AB85" s="68"/>
      <c r="AC85" s="68"/>
      <c r="AD85" s="68"/>
      <c r="AE85" s="57"/>
      <c r="AF85" s="68"/>
      <c r="AG85" s="68"/>
      <c r="AH85" s="68"/>
      <c r="AI85" s="68"/>
      <c r="AJ85" s="68"/>
      <c r="AL85" s="75"/>
      <c r="AM85" s="75"/>
      <c r="AN85" s="75"/>
      <c r="AO85" s="75"/>
      <c r="AP85" s="68"/>
      <c r="AR85" s="75">
        <f>B85+H85+N85+T85+AL85+AF85+Z85</f>
        <v>0</v>
      </c>
      <c r="AS85" s="75">
        <f t="shared" ref="AS85:AU87" si="91">C85+I85+O85+U85+AM85+AG85+AA85</f>
        <v>0</v>
      </c>
      <c r="AT85" s="75">
        <f t="shared" si="91"/>
        <v>0</v>
      </c>
      <c r="AU85" s="75">
        <f t="shared" si="91"/>
        <v>0</v>
      </c>
      <c r="AV85" s="93">
        <f>SUM(AR85:AU85)</f>
        <v>0</v>
      </c>
    </row>
    <row r="86" spans="1:48" x14ac:dyDescent="0.25">
      <c r="A86" s="21" t="s">
        <v>75</v>
      </c>
      <c r="B86" s="69"/>
      <c r="C86" s="69"/>
      <c r="D86" s="69"/>
      <c r="E86" s="69"/>
      <c r="F86" s="69"/>
      <c r="H86" s="69"/>
      <c r="I86" s="69"/>
      <c r="J86" s="69"/>
      <c r="K86" s="69"/>
      <c r="L86" s="69"/>
      <c r="N86" s="63"/>
      <c r="O86" s="63"/>
      <c r="P86" s="63"/>
      <c r="Q86" s="63"/>
      <c r="R86" s="75">
        <f t="shared" ref="R86:R87" si="92">SUM(N86:Q86)</f>
        <v>0</v>
      </c>
      <c r="T86" s="69"/>
      <c r="U86" s="69"/>
      <c r="V86" s="69"/>
      <c r="W86" s="69"/>
      <c r="X86" s="69"/>
      <c r="Y86" s="57"/>
      <c r="Z86" s="69"/>
      <c r="AA86" s="69"/>
      <c r="AB86" s="69"/>
      <c r="AC86" s="69"/>
      <c r="AD86" s="69"/>
      <c r="AE86" s="57"/>
      <c r="AF86" s="69"/>
      <c r="AG86" s="69"/>
      <c r="AH86" s="69"/>
      <c r="AI86" s="69"/>
      <c r="AJ86" s="69"/>
      <c r="AL86" s="63"/>
      <c r="AM86" s="63"/>
      <c r="AN86" s="63"/>
      <c r="AO86" s="63"/>
      <c r="AP86" s="69"/>
      <c r="AR86" s="75">
        <f t="shared" ref="AR86:AR87" si="93">B86+H86+N86+T86+AL86+AF86+Z86</f>
        <v>0</v>
      </c>
      <c r="AS86" s="75">
        <f t="shared" si="91"/>
        <v>0</v>
      </c>
      <c r="AT86" s="75">
        <f t="shared" si="91"/>
        <v>0</v>
      </c>
      <c r="AU86" s="75">
        <f t="shared" si="91"/>
        <v>0</v>
      </c>
      <c r="AV86" s="93">
        <f t="shared" ref="AV86:AV87" si="94">SUM(AR86:AU86)</f>
        <v>0</v>
      </c>
    </row>
    <row r="87" spans="1:48" x14ac:dyDescent="0.25">
      <c r="A87" s="22" t="s">
        <v>76</v>
      </c>
      <c r="B87" s="70"/>
      <c r="C87" s="70"/>
      <c r="D87" s="70"/>
      <c r="E87" s="70"/>
      <c r="F87" s="70"/>
      <c r="H87" s="70"/>
      <c r="I87" s="70"/>
      <c r="J87" s="70"/>
      <c r="K87" s="70"/>
      <c r="L87" s="70"/>
      <c r="N87" s="64"/>
      <c r="O87" s="64"/>
      <c r="P87" s="64"/>
      <c r="Q87" s="64">
        <v>0</v>
      </c>
      <c r="R87" s="75">
        <f t="shared" si="92"/>
        <v>0</v>
      </c>
      <c r="T87" s="70"/>
      <c r="U87" s="70"/>
      <c r="V87" s="70"/>
      <c r="W87" s="70"/>
      <c r="X87" s="70"/>
      <c r="Y87" s="57"/>
      <c r="Z87" s="70"/>
      <c r="AA87" s="70"/>
      <c r="AB87" s="70"/>
      <c r="AC87" s="70"/>
      <c r="AD87" s="70"/>
      <c r="AE87" s="57"/>
      <c r="AF87" s="70"/>
      <c r="AG87" s="70"/>
      <c r="AH87" s="70"/>
      <c r="AI87" s="70"/>
      <c r="AJ87" s="70"/>
      <c r="AL87" s="64"/>
      <c r="AM87" s="64"/>
      <c r="AN87" s="64"/>
      <c r="AO87" s="64"/>
      <c r="AP87" s="70"/>
      <c r="AR87" s="75">
        <f t="shared" si="93"/>
        <v>0</v>
      </c>
      <c r="AS87" s="75">
        <f t="shared" si="91"/>
        <v>0</v>
      </c>
      <c r="AT87" s="75">
        <f t="shared" si="91"/>
        <v>0</v>
      </c>
      <c r="AU87" s="75">
        <f t="shared" si="91"/>
        <v>0</v>
      </c>
      <c r="AV87" s="93">
        <f t="shared" si="94"/>
        <v>0</v>
      </c>
    </row>
    <row r="88" spans="1:48" x14ac:dyDescent="0.25">
      <c r="A88" s="24"/>
      <c r="B88" s="71">
        <f>SUM(B85:B87)</f>
        <v>0</v>
      </c>
      <c r="C88" s="71">
        <f t="shared" ref="C88:F88" si="95">SUM(C85:C87)</f>
        <v>0</v>
      </c>
      <c r="D88" s="71">
        <f t="shared" si="95"/>
        <v>0</v>
      </c>
      <c r="E88" s="71">
        <f t="shared" si="95"/>
        <v>0</v>
      </c>
      <c r="F88" s="71">
        <f t="shared" si="95"/>
        <v>0</v>
      </c>
      <c r="H88" s="71">
        <f>SUM(H85:H87)</f>
        <v>0</v>
      </c>
      <c r="I88" s="71">
        <f t="shared" ref="I88:L88" si="96">SUM(I85:I87)</f>
        <v>0</v>
      </c>
      <c r="J88" s="71">
        <f t="shared" si="96"/>
        <v>0</v>
      </c>
      <c r="K88" s="71">
        <f t="shared" si="96"/>
        <v>0</v>
      </c>
      <c r="L88" s="71">
        <f t="shared" si="96"/>
        <v>0</v>
      </c>
      <c r="N88" s="88">
        <f>SUM(N85:N87)</f>
        <v>0</v>
      </c>
      <c r="O88" s="88">
        <f t="shared" ref="O88:R88" si="97">SUM(O85:O87)</f>
        <v>0</v>
      </c>
      <c r="P88" s="88">
        <f t="shared" si="97"/>
        <v>0</v>
      </c>
      <c r="Q88" s="88">
        <f t="shared" si="97"/>
        <v>0</v>
      </c>
      <c r="R88" s="88">
        <f t="shared" si="97"/>
        <v>0</v>
      </c>
      <c r="T88" s="71">
        <f t="shared" ref="T88:X88" si="98">SUM(T85:T87)</f>
        <v>0</v>
      </c>
      <c r="U88" s="71">
        <f t="shared" si="98"/>
        <v>0</v>
      </c>
      <c r="V88" s="71">
        <f t="shared" si="98"/>
        <v>0</v>
      </c>
      <c r="W88" s="71">
        <f t="shared" si="98"/>
        <v>0</v>
      </c>
      <c r="X88" s="71">
        <f t="shared" si="98"/>
        <v>0</v>
      </c>
      <c r="Y88" s="200"/>
      <c r="Z88" s="71">
        <f t="shared" ref="Z88:AD88" si="99">SUM(Z85:Z87)</f>
        <v>0</v>
      </c>
      <c r="AA88" s="71">
        <f t="shared" si="99"/>
        <v>0</v>
      </c>
      <c r="AB88" s="71">
        <f t="shared" si="99"/>
        <v>0</v>
      </c>
      <c r="AC88" s="71">
        <f t="shared" si="99"/>
        <v>0</v>
      </c>
      <c r="AD88" s="71">
        <f t="shared" si="99"/>
        <v>0</v>
      </c>
      <c r="AE88" s="200"/>
      <c r="AF88" s="71">
        <f t="shared" ref="AF88:AJ88" si="100">SUM(AF85:AF87)</f>
        <v>0</v>
      </c>
      <c r="AG88" s="71">
        <f t="shared" si="100"/>
        <v>0</v>
      </c>
      <c r="AH88" s="71">
        <f t="shared" si="100"/>
        <v>0</v>
      </c>
      <c r="AI88" s="71">
        <f t="shared" si="100"/>
        <v>0</v>
      </c>
      <c r="AJ88" s="71">
        <f t="shared" si="100"/>
        <v>0</v>
      </c>
      <c r="AL88" s="88">
        <f>SUM(AL85:AL87)</f>
        <v>0</v>
      </c>
      <c r="AM88" s="88">
        <f t="shared" ref="AM88:AP88" si="101">SUM(AM85:AM87)</f>
        <v>0</v>
      </c>
      <c r="AN88" s="88">
        <f t="shared" si="101"/>
        <v>0</v>
      </c>
      <c r="AO88" s="88">
        <f t="shared" si="101"/>
        <v>0</v>
      </c>
      <c r="AP88" s="71">
        <f t="shared" si="101"/>
        <v>0</v>
      </c>
      <c r="AR88" s="88">
        <f>SUM(AR85:AR87)</f>
        <v>0</v>
      </c>
      <c r="AS88" s="88">
        <f t="shared" ref="AS88:AV88" si="102">SUM(AS85:AS87)</f>
        <v>0</v>
      </c>
      <c r="AT88" s="88">
        <f t="shared" si="102"/>
        <v>0</v>
      </c>
      <c r="AU88" s="88">
        <f t="shared" si="102"/>
        <v>0</v>
      </c>
      <c r="AV88" s="71">
        <f t="shared" si="102"/>
        <v>0</v>
      </c>
    </row>
    <row r="89" spans="1:48" x14ac:dyDescent="0.25">
      <c r="B89" s="57"/>
      <c r="C89" s="57"/>
      <c r="D89" s="57"/>
      <c r="E89" s="57"/>
      <c r="F89" s="57"/>
      <c r="H89" s="57"/>
      <c r="I89" s="57"/>
      <c r="J89" s="57"/>
      <c r="K89" s="57"/>
      <c r="L89" s="57"/>
      <c r="N89" s="57"/>
      <c r="O89" s="57"/>
      <c r="P89" s="57"/>
      <c r="Q89" s="57"/>
      <c r="R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L89" s="57"/>
      <c r="AM89" s="57"/>
      <c r="AN89" s="57"/>
      <c r="AO89" s="57"/>
      <c r="AP89" s="57"/>
      <c r="AR89" s="57"/>
      <c r="AS89" s="57"/>
      <c r="AT89" s="57"/>
      <c r="AU89" s="57"/>
      <c r="AV89" s="57"/>
    </row>
    <row r="90" spans="1:48" ht="16.5" thickBot="1" x14ac:dyDescent="0.3">
      <c r="B90" s="57"/>
      <c r="C90" s="57"/>
      <c r="D90" s="57"/>
      <c r="E90" s="57"/>
      <c r="F90" s="57"/>
      <c r="H90" s="57"/>
      <c r="I90" s="57"/>
      <c r="J90" s="57"/>
      <c r="K90" s="57"/>
      <c r="L90" s="57"/>
      <c r="N90" s="57"/>
      <c r="O90" s="57"/>
      <c r="P90" s="57"/>
      <c r="Q90" s="57"/>
      <c r="R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L90" s="57"/>
      <c r="AM90" s="57"/>
      <c r="AN90" s="57"/>
      <c r="AO90" s="57"/>
      <c r="AP90" s="57"/>
      <c r="AR90" s="57"/>
      <c r="AS90" s="57"/>
      <c r="AT90" s="57"/>
      <c r="AU90" s="57"/>
      <c r="AV90" s="57"/>
    </row>
    <row r="91" spans="1:48" x14ac:dyDescent="0.25">
      <c r="A91" s="25"/>
      <c r="B91" s="72" t="s">
        <v>157</v>
      </c>
      <c r="C91" s="72" t="s">
        <v>158</v>
      </c>
      <c r="D91" s="72" t="s">
        <v>159</v>
      </c>
      <c r="E91" s="73" t="str">
        <f>E84</f>
        <v>Other</v>
      </c>
      <c r="F91" s="73" t="str">
        <f>F84</f>
        <v>FY31- Mtn</v>
      </c>
      <c r="H91" s="72" t="s">
        <v>157</v>
      </c>
      <c r="I91" s="72" t="s">
        <v>158</v>
      </c>
      <c r="J91" s="72" t="s">
        <v>159</v>
      </c>
      <c r="K91" s="73" t="str">
        <f>K84</f>
        <v>Other</v>
      </c>
      <c r="L91" s="73" t="str">
        <f>L84</f>
        <v>FY31- Bon</v>
      </c>
      <c r="N91" s="72" t="s">
        <v>157</v>
      </c>
      <c r="O91" s="72" t="s">
        <v>158</v>
      </c>
      <c r="P91" s="72" t="s">
        <v>159</v>
      </c>
      <c r="Q91" s="73" t="str">
        <f>Q84</f>
        <v>Other</v>
      </c>
      <c r="R91" s="73" t="str">
        <f>R84</f>
        <v>FY31- East</v>
      </c>
      <c r="T91" s="72" t="s">
        <v>157</v>
      </c>
      <c r="U91" s="72" t="s">
        <v>158</v>
      </c>
      <c r="V91" s="72" t="s">
        <v>159</v>
      </c>
      <c r="W91" s="73" t="str">
        <f>W84</f>
        <v>Other</v>
      </c>
      <c r="X91" s="73" t="str">
        <f>X84</f>
        <v>FY31- Cactus</v>
      </c>
      <c r="Y91" s="198"/>
      <c r="Z91" s="72" t="s">
        <v>157</v>
      </c>
      <c r="AA91" s="72" t="s">
        <v>158</v>
      </c>
      <c r="AB91" s="72" t="s">
        <v>159</v>
      </c>
      <c r="AC91" s="73" t="str">
        <f>AC84</f>
        <v>Other</v>
      </c>
      <c r="AD91" s="73" t="str">
        <f>AD84</f>
        <v>FY31- Sahara</v>
      </c>
      <c r="AE91" s="198"/>
      <c r="AF91" s="72" t="s">
        <v>157</v>
      </c>
      <c r="AG91" s="72" t="s">
        <v>158</v>
      </c>
      <c r="AH91" s="72" t="s">
        <v>159</v>
      </c>
      <c r="AI91" s="73" t="str">
        <f>AI84</f>
        <v>Other</v>
      </c>
      <c r="AJ91" s="73" t="str">
        <f>AJ84</f>
        <v>FY31- VV</v>
      </c>
      <c r="AL91" s="72" t="s">
        <v>157</v>
      </c>
      <c r="AM91" s="72" t="s">
        <v>158</v>
      </c>
      <c r="AN91" s="72" t="s">
        <v>159</v>
      </c>
      <c r="AO91" s="73" t="str">
        <f>AO84</f>
        <v>Grant</v>
      </c>
      <c r="AP91" s="73" t="str">
        <f>AP84</f>
        <v>FY31 - Central</v>
      </c>
      <c r="AR91" s="72" t="s">
        <v>157</v>
      </c>
      <c r="AS91" s="72" t="s">
        <v>158</v>
      </c>
      <c r="AT91" s="72" t="s">
        <v>159</v>
      </c>
      <c r="AU91" s="73" t="str">
        <f>AU84</f>
        <v>Other</v>
      </c>
      <c r="AV91" s="73" t="str">
        <f>AV84</f>
        <v>FY31- Sys</v>
      </c>
    </row>
    <row r="92" spans="1:48" x14ac:dyDescent="0.25">
      <c r="A92" s="26"/>
      <c r="B92" s="74"/>
      <c r="C92" s="74"/>
      <c r="D92" s="74"/>
      <c r="E92" s="74"/>
      <c r="F92" s="74"/>
      <c r="H92" s="74"/>
      <c r="I92" s="74"/>
      <c r="J92" s="74"/>
      <c r="K92" s="74"/>
      <c r="L92" s="74"/>
      <c r="N92" s="74"/>
      <c r="O92" s="74"/>
      <c r="P92" s="74"/>
      <c r="Q92" s="74"/>
      <c r="R92" s="74"/>
      <c r="T92" s="74"/>
      <c r="U92" s="74"/>
      <c r="V92" s="74"/>
      <c r="W92" s="74"/>
      <c r="X92" s="74"/>
      <c r="Y92" s="57"/>
      <c r="Z92" s="74"/>
      <c r="AA92" s="74"/>
      <c r="AB92" s="74"/>
      <c r="AC92" s="74"/>
      <c r="AD92" s="74"/>
      <c r="AE92" s="57"/>
      <c r="AF92" s="74"/>
      <c r="AG92" s="74"/>
      <c r="AH92" s="74"/>
      <c r="AI92" s="74"/>
      <c r="AJ92" s="74"/>
      <c r="AL92" s="74"/>
      <c r="AM92" s="74"/>
      <c r="AN92" s="74"/>
      <c r="AO92" s="74"/>
      <c r="AP92" s="74"/>
      <c r="AR92" s="74"/>
      <c r="AS92" s="74"/>
      <c r="AT92" s="74"/>
      <c r="AU92" s="74"/>
      <c r="AV92" s="74"/>
    </row>
    <row r="93" spans="1:48" x14ac:dyDescent="0.25">
      <c r="A93" s="20" t="s">
        <v>34</v>
      </c>
      <c r="B93" s="75">
        <f>170100*1.01*1.01*1.01*1.01*1.01</f>
        <v>178776.80952201001</v>
      </c>
      <c r="C93" s="75"/>
      <c r="D93" s="75"/>
      <c r="E93" s="75"/>
      <c r="F93" s="75">
        <f>SUM(B93:E93)</f>
        <v>178776.80952201001</v>
      </c>
      <c r="H93" s="75">
        <f>170100*1.01*1.01*1.01*1.01*1.01</f>
        <v>178776.80952201001</v>
      </c>
      <c r="I93" s="75"/>
      <c r="J93" s="75"/>
      <c r="K93" s="75"/>
      <c r="L93" s="75">
        <f>SUM(H93:K93)</f>
        <v>178776.80952201001</v>
      </c>
      <c r="N93" s="229">
        <f>225750*1.01*1.01*1.01*1.01*1.01</f>
        <v>237265.51881007501</v>
      </c>
      <c r="O93" s="75"/>
      <c r="P93" s="75"/>
      <c r="Q93" s="75"/>
      <c r="R93" s="75">
        <f>SUM(N93:Q93)</f>
        <v>237265.51881007501</v>
      </c>
      <c r="T93" s="75">
        <f>125000*1.01*1.01*1.01*1.01*1.01</f>
        <v>131376.25626250001</v>
      </c>
      <c r="U93" s="75"/>
      <c r="V93" s="75"/>
      <c r="W93" s="75"/>
      <c r="X93" s="75">
        <f>SUM(T93:W93)</f>
        <v>131376.25626250001</v>
      </c>
      <c r="Y93" s="194"/>
      <c r="Z93" s="75">
        <v>145000</v>
      </c>
      <c r="AA93" s="75"/>
      <c r="AB93" s="75"/>
      <c r="AC93" s="75"/>
      <c r="AD93" s="75">
        <f>SUM(Z93:AC93)</f>
        <v>145000</v>
      </c>
      <c r="AE93" s="194"/>
      <c r="AF93" s="75">
        <f>140000*1.01*1.01*1.01</f>
        <v>144242.14000000001</v>
      </c>
      <c r="AG93" s="75"/>
      <c r="AH93" s="75"/>
      <c r="AI93" s="75"/>
      <c r="AJ93" s="75">
        <f>SUM(AF93:AI93)</f>
        <v>144242.14000000001</v>
      </c>
      <c r="AL93" s="75"/>
      <c r="AM93" s="75"/>
      <c r="AN93" s="75"/>
      <c r="AO93" s="75"/>
      <c r="AP93" s="75">
        <f>SUM(AL93:AO93)</f>
        <v>0</v>
      </c>
      <c r="AR93" s="75">
        <f>B93+H93+N93+T93+AL93+AF93+Z93</f>
        <v>1015437.5341165952</v>
      </c>
      <c r="AS93" s="75">
        <f t="shared" ref="AS93:AU108" si="103">C93+I93+O93+U93+AM93+AG93+AA93</f>
        <v>0</v>
      </c>
      <c r="AT93" s="75">
        <f t="shared" si="103"/>
        <v>0</v>
      </c>
      <c r="AU93" s="75">
        <f t="shared" si="103"/>
        <v>0</v>
      </c>
      <c r="AV93" s="75">
        <f>SUM(AR93:AU93)</f>
        <v>1015437.5341165952</v>
      </c>
    </row>
    <row r="94" spans="1:48" x14ac:dyDescent="0.25">
      <c r="A94" s="21" t="s">
        <v>77</v>
      </c>
      <c r="B94" s="63">
        <f>(105000+87550)*1.03*1.01*1.01*1.01*1.01*1.01</f>
        <v>208443.14470115767</v>
      </c>
      <c r="C94" s="63"/>
      <c r="D94" s="63"/>
      <c r="E94" s="63"/>
      <c r="F94" s="75">
        <f t="shared" ref="F94:F108" si="104">SUM(B94:E94)</f>
        <v>208443.14470115767</v>
      </c>
      <c r="H94" s="63">
        <f>((98000+90000+95000)+85000)*1.03*1.01*1.01*1.01*1.01*1.01</f>
        <v>398374.849389904</v>
      </c>
      <c r="I94" s="63"/>
      <c r="J94" s="63"/>
      <c r="K94" s="63"/>
      <c r="L94" s="75">
        <f t="shared" ref="L94:L108" si="105">SUM(H94:K94)</f>
        <v>398374.849389904</v>
      </c>
      <c r="N94" s="63">
        <f>(105000+105000+105000+110000+83000)*1.03*1.01*1.01*1.01*1.01*1.01</f>
        <v>549930.49861432402</v>
      </c>
      <c r="O94" s="63"/>
      <c r="P94" s="63"/>
      <c r="Q94" s="63"/>
      <c r="R94" s="75">
        <f t="shared" ref="R94:R108" si="106">SUM(N94:Q94)</f>
        <v>549930.49861432402</v>
      </c>
      <c r="T94" s="63">
        <v>0</v>
      </c>
      <c r="U94" s="63"/>
      <c r="V94" s="63"/>
      <c r="W94" s="63"/>
      <c r="X94" s="75">
        <f t="shared" ref="X94:X108" si="107">SUM(T94:W94)</f>
        <v>0</v>
      </c>
      <c r="Y94" s="194"/>
      <c r="Z94" s="63">
        <f>(100000+90000+95000)*1.01*1.01*1.01</f>
        <v>293635.78499999997</v>
      </c>
      <c r="AA94" s="63"/>
      <c r="AB94" s="63"/>
      <c r="AC94" s="63"/>
      <c r="AD94" s="75">
        <f t="shared" ref="AD94:AD108" si="108">SUM(Z94:AC94)</f>
        <v>293635.78499999997</v>
      </c>
      <c r="AE94" s="194"/>
      <c r="AF94" s="63">
        <f>(90000*AF40)*1.01*1.01*1.01</f>
        <v>278181.27</v>
      </c>
      <c r="AG94" s="63"/>
      <c r="AH94" s="63"/>
      <c r="AI94" s="63"/>
      <c r="AJ94" s="75">
        <f t="shared" ref="AJ94:AJ108" si="109">SUM(AF94:AI94)</f>
        <v>278181.27</v>
      </c>
      <c r="AL94" s="63"/>
      <c r="AM94" s="63">
        <f>118450*1.01*1.01*1.01*1.01*1.01</f>
        <v>124492.140434345</v>
      </c>
      <c r="AN94" s="63"/>
      <c r="AO94" s="63"/>
      <c r="AP94" s="75">
        <f t="shared" ref="AP94:AP108" si="110">SUM(AL94:AO94)</f>
        <v>124492.140434345</v>
      </c>
      <c r="AR94" s="75">
        <f t="shared" ref="AR94:AR108" si="111">B94+H94+N94+T94+AL94+AF94+Z94</f>
        <v>1728565.5477053856</v>
      </c>
      <c r="AS94" s="75">
        <f t="shared" si="103"/>
        <v>124492.140434345</v>
      </c>
      <c r="AT94" s="75">
        <f t="shared" si="103"/>
        <v>0</v>
      </c>
      <c r="AU94" s="75">
        <f t="shared" si="103"/>
        <v>0</v>
      </c>
      <c r="AV94" s="75">
        <f t="shared" ref="AV94:AV108" si="112">SUM(AR94:AU94)</f>
        <v>1853057.6881397306</v>
      </c>
    </row>
    <row r="95" spans="1:48" x14ac:dyDescent="0.25">
      <c r="A95" s="21" t="s">
        <v>39</v>
      </c>
      <c r="B95" s="63">
        <f>(70000+88000)*1.01*1.01*1.01*1.01*1.01</f>
        <v>166059.58791579999</v>
      </c>
      <c r="C95" s="63"/>
      <c r="D95" s="63"/>
      <c r="E95" s="63"/>
      <c r="F95" s="75">
        <f t="shared" si="104"/>
        <v>166059.58791579999</v>
      </c>
      <c r="H95" s="63">
        <f>(71000+65000)*1.01*1.01*1.01*1.01*1.01</f>
        <v>142937.36681360003</v>
      </c>
      <c r="I95" s="63"/>
      <c r="J95" s="63"/>
      <c r="K95" s="63"/>
      <c r="L95" s="75">
        <f t="shared" si="105"/>
        <v>142937.36681360003</v>
      </c>
      <c r="N95" s="63">
        <f>(80350*N44)*1.01*1.01*1.01*1.01*1.01</f>
        <v>422243.28762767499</v>
      </c>
      <c r="O95" s="63"/>
      <c r="P95" s="63"/>
      <c r="Q95" s="63"/>
      <c r="R95" s="75">
        <f t="shared" si="106"/>
        <v>422243.28762767499</v>
      </c>
      <c r="T95" s="63"/>
      <c r="U95" s="63"/>
      <c r="V95" s="63"/>
      <c r="W95" s="63"/>
      <c r="X95" s="75">
        <f t="shared" si="107"/>
        <v>0</v>
      </c>
      <c r="Y95" s="194"/>
      <c r="Z95" s="63">
        <f>(85000*Z44)*1.01*1.01</f>
        <v>260125.5</v>
      </c>
      <c r="AA95" s="63"/>
      <c r="AB95" s="63"/>
      <c r="AC95" s="63"/>
      <c r="AD95" s="75">
        <f t="shared" si="108"/>
        <v>260125.5</v>
      </c>
      <c r="AE95" s="194"/>
      <c r="AF95" s="63">
        <f>(85000*AF44)*1.01*1.01</f>
        <v>173417</v>
      </c>
      <c r="AG95" s="63"/>
      <c r="AH95" s="63"/>
      <c r="AI95" s="63"/>
      <c r="AJ95" s="75">
        <f t="shared" si="109"/>
        <v>173417</v>
      </c>
      <c r="AL95" s="63"/>
      <c r="AM95" s="63"/>
      <c r="AN95" s="63"/>
      <c r="AO95" s="63">
        <v>200000</v>
      </c>
      <c r="AP95" s="75">
        <f t="shared" si="110"/>
        <v>200000</v>
      </c>
      <c r="AR95" s="75">
        <f t="shared" si="111"/>
        <v>1164782.742357075</v>
      </c>
      <c r="AS95" s="75">
        <f t="shared" si="103"/>
        <v>0</v>
      </c>
      <c r="AT95" s="75">
        <f t="shared" si="103"/>
        <v>0</v>
      </c>
      <c r="AU95" s="75">
        <f t="shared" si="103"/>
        <v>200000</v>
      </c>
      <c r="AV95" s="75">
        <f t="shared" si="112"/>
        <v>1364782.742357075</v>
      </c>
    </row>
    <row r="96" spans="1:48" x14ac:dyDescent="0.25">
      <c r="A96" s="21" t="s">
        <v>78</v>
      </c>
      <c r="B96" s="63">
        <f>(75000+43000)*1.01*1.01*1.01*1.01*1.01</f>
        <v>124019.18591180001</v>
      </c>
      <c r="C96" s="63"/>
      <c r="D96" s="63"/>
      <c r="E96" s="63"/>
      <c r="F96" s="75">
        <f t="shared" si="104"/>
        <v>124019.18591180001</v>
      </c>
      <c r="H96" s="63">
        <f>(60000+75000)*1.01*1.01*1.01*1.01*1.01</f>
        <v>141886.35676350002</v>
      </c>
      <c r="I96" s="63"/>
      <c r="J96" s="63"/>
      <c r="K96" s="63"/>
      <c r="L96" s="75">
        <f t="shared" si="105"/>
        <v>141886.35676350002</v>
      </c>
      <c r="N96" s="63"/>
      <c r="O96" s="63"/>
      <c r="P96" s="63"/>
      <c r="Q96" s="63"/>
      <c r="R96" s="75">
        <f t="shared" si="106"/>
        <v>0</v>
      </c>
      <c r="T96" s="63"/>
      <c r="U96" s="63"/>
      <c r="V96" s="63"/>
      <c r="W96" s="63"/>
      <c r="X96" s="75">
        <f t="shared" si="107"/>
        <v>0</v>
      </c>
      <c r="Y96" s="194"/>
      <c r="Z96" s="63"/>
      <c r="AA96" s="63"/>
      <c r="AB96" s="63"/>
      <c r="AC96" s="63"/>
      <c r="AD96" s="75">
        <f t="shared" si="108"/>
        <v>0</v>
      </c>
      <c r="AE96" s="194"/>
      <c r="AF96" s="63">
        <f>(65000*AF45)*1.01*1.01</f>
        <v>132613</v>
      </c>
      <c r="AG96" s="63"/>
      <c r="AH96" s="63"/>
      <c r="AI96" s="63"/>
      <c r="AJ96" s="75">
        <f t="shared" si="109"/>
        <v>132613</v>
      </c>
      <c r="AL96" s="63">
        <f>72100*1.01*1.01*1.01*1.01*1.01</f>
        <v>75777.82461221001</v>
      </c>
      <c r="AM96" s="63"/>
      <c r="AN96" s="63"/>
      <c r="AO96" s="63"/>
      <c r="AP96" s="75">
        <f t="shared" si="110"/>
        <v>75777.82461221001</v>
      </c>
      <c r="AR96" s="75">
        <f t="shared" si="111"/>
        <v>474296.36728751007</v>
      </c>
      <c r="AS96" s="75">
        <f t="shared" si="103"/>
        <v>0</v>
      </c>
      <c r="AT96" s="75">
        <f t="shared" si="103"/>
        <v>0</v>
      </c>
      <c r="AU96" s="75">
        <f t="shared" si="103"/>
        <v>0</v>
      </c>
      <c r="AV96" s="75">
        <f t="shared" si="112"/>
        <v>474296.36728751007</v>
      </c>
    </row>
    <row r="97" spans="1:48" x14ac:dyDescent="0.25">
      <c r="A97" s="21" t="s">
        <v>79</v>
      </c>
      <c r="B97" s="63">
        <v>0</v>
      </c>
      <c r="C97" s="63"/>
      <c r="D97" s="63"/>
      <c r="E97" s="63"/>
      <c r="F97" s="75">
        <f t="shared" si="104"/>
        <v>0</v>
      </c>
      <c r="H97" s="63"/>
      <c r="I97" s="63"/>
      <c r="J97" s="63"/>
      <c r="K97" s="63"/>
      <c r="L97" s="75">
        <f t="shared" si="105"/>
        <v>0</v>
      </c>
      <c r="N97" s="63"/>
      <c r="O97" s="63"/>
      <c r="P97" s="63"/>
      <c r="Q97" s="63"/>
      <c r="R97" s="75">
        <f t="shared" si="106"/>
        <v>0</v>
      </c>
      <c r="T97" s="63"/>
      <c r="U97" s="63"/>
      <c r="V97" s="63"/>
      <c r="W97" s="63"/>
      <c r="X97" s="75">
        <f t="shared" si="107"/>
        <v>0</v>
      </c>
      <c r="Y97" s="194"/>
      <c r="Z97" s="63"/>
      <c r="AA97" s="63"/>
      <c r="AB97" s="63"/>
      <c r="AC97" s="63"/>
      <c r="AD97" s="75">
        <f t="shared" si="108"/>
        <v>0</v>
      </c>
      <c r="AE97" s="194"/>
      <c r="AF97" s="63"/>
      <c r="AG97" s="63"/>
      <c r="AH97" s="63"/>
      <c r="AI97" s="63"/>
      <c r="AJ97" s="75">
        <f t="shared" si="109"/>
        <v>0</v>
      </c>
      <c r="AL97" s="63"/>
      <c r="AM97" s="63"/>
      <c r="AN97" s="63"/>
      <c r="AO97" s="63"/>
      <c r="AP97" s="75">
        <f t="shared" si="110"/>
        <v>0</v>
      </c>
      <c r="AR97" s="75">
        <f t="shared" si="111"/>
        <v>0</v>
      </c>
      <c r="AS97" s="75">
        <f t="shared" si="103"/>
        <v>0</v>
      </c>
      <c r="AT97" s="75">
        <f t="shared" si="103"/>
        <v>0</v>
      </c>
      <c r="AU97" s="75">
        <f t="shared" si="103"/>
        <v>0</v>
      </c>
      <c r="AV97" s="75">
        <f t="shared" si="112"/>
        <v>0</v>
      </c>
    </row>
    <row r="98" spans="1:48" x14ac:dyDescent="0.25">
      <c r="A98" s="21" t="s">
        <v>80</v>
      </c>
      <c r="B98" s="63">
        <f>(70000+62000+52000+40000)*1.01*1.01*1.01*1.01*1.01</f>
        <v>235426.25122239999</v>
      </c>
      <c r="C98" s="63"/>
      <c r="D98" s="63"/>
      <c r="E98" s="63"/>
      <c r="F98" s="75">
        <f t="shared" si="104"/>
        <v>235426.25122239999</v>
      </c>
      <c r="H98" s="63">
        <f>(81000+61800+51500+58500)*1.01*1.01*1.01*1.01*1.01</f>
        <v>265695.34066528006</v>
      </c>
      <c r="I98" s="63"/>
      <c r="J98" s="63"/>
      <c r="K98" s="63"/>
      <c r="L98" s="75">
        <f t="shared" si="105"/>
        <v>265695.34066528006</v>
      </c>
      <c r="N98" s="63">
        <f>((86000+44000+60000+55000)+60000)*1.01*1.01*1.01*1.01*1.01</f>
        <v>320558.06528049998</v>
      </c>
      <c r="O98" s="63"/>
      <c r="P98" s="63"/>
      <c r="Q98" s="63"/>
      <c r="R98" s="75">
        <f t="shared" si="106"/>
        <v>320558.06528049998</v>
      </c>
      <c r="T98" s="63">
        <f>52000*1.01*1.01*1.01*1.01*1.01</f>
        <v>54652.5226052</v>
      </c>
      <c r="U98" s="63"/>
      <c r="V98" s="63"/>
      <c r="W98" s="63"/>
      <c r="X98" s="75">
        <f t="shared" si="107"/>
        <v>54652.5226052</v>
      </c>
      <c r="Y98" s="194"/>
      <c r="Z98" s="63">
        <f>(55000+50000)*1.01*1.01*1.01*1.01</f>
        <v>109263.42104999999</v>
      </c>
      <c r="AA98" s="63"/>
      <c r="AB98" s="63"/>
      <c r="AC98" s="63"/>
      <c r="AD98" s="75">
        <f t="shared" si="108"/>
        <v>109263.42104999999</v>
      </c>
      <c r="AE98" s="194"/>
      <c r="AF98" s="63">
        <f>(55000+50000)*1.01*1.01*1.01</f>
        <v>108181.605</v>
      </c>
      <c r="AG98" s="63"/>
      <c r="AH98" s="63"/>
      <c r="AI98" s="63"/>
      <c r="AJ98" s="75">
        <f t="shared" si="109"/>
        <v>108181.605</v>
      </c>
      <c r="AL98" s="63">
        <f>87500*1.01*1.01*1.01*1.01*1.01</f>
        <v>91963.379383749983</v>
      </c>
      <c r="AM98" s="63"/>
      <c r="AN98" s="63"/>
      <c r="AO98" s="63"/>
      <c r="AP98" s="75">
        <f t="shared" si="110"/>
        <v>91963.379383749983</v>
      </c>
      <c r="AR98" s="75">
        <f t="shared" si="111"/>
        <v>1185740.5852071301</v>
      </c>
      <c r="AS98" s="75">
        <f t="shared" si="103"/>
        <v>0</v>
      </c>
      <c r="AT98" s="75">
        <f t="shared" si="103"/>
        <v>0</v>
      </c>
      <c r="AU98" s="75">
        <f t="shared" si="103"/>
        <v>0</v>
      </c>
      <c r="AV98" s="75">
        <f t="shared" si="112"/>
        <v>1185740.5852071301</v>
      </c>
    </row>
    <row r="99" spans="1:48" x14ac:dyDescent="0.25">
      <c r="A99" s="21" t="s">
        <v>81</v>
      </c>
      <c r="B99" s="63">
        <f>(25.25*8*190)*(B48+B49)+1300</f>
        <v>116440</v>
      </c>
      <c r="C99" s="63"/>
      <c r="D99" s="63"/>
      <c r="E99" s="63"/>
      <c r="F99" s="75">
        <f t="shared" si="104"/>
        <v>116440</v>
      </c>
      <c r="H99" s="63">
        <f>(25.25*8*190)*(H48+H49)</f>
        <v>115140</v>
      </c>
      <c r="I99" s="63"/>
      <c r="J99" s="63"/>
      <c r="K99" s="63"/>
      <c r="L99" s="75">
        <f t="shared" si="105"/>
        <v>115140</v>
      </c>
      <c r="N99" s="63">
        <f>(21.75*8*190)*(N48+N49)+(61800)*1.01*1.01*1.01*1.01*1.01</f>
        <v>296372.42109617998</v>
      </c>
      <c r="O99" s="63"/>
      <c r="P99" s="63"/>
      <c r="Q99" s="63"/>
      <c r="R99" s="75">
        <f t="shared" si="106"/>
        <v>296372.42109617998</v>
      </c>
      <c r="T99" s="63">
        <f>40000*1.01*1.01*1.01*1.01*1.01</f>
        <v>42040.402004000003</v>
      </c>
      <c r="U99" s="63"/>
      <c r="V99" s="63"/>
      <c r="W99" s="63"/>
      <c r="X99" s="75">
        <f t="shared" si="107"/>
        <v>42040.402004000003</v>
      </c>
      <c r="Y99" s="194"/>
      <c r="Z99" s="63">
        <f>(22*8*190)*(Z48+Z49)</f>
        <v>100320</v>
      </c>
      <c r="AA99" s="63"/>
      <c r="AB99" s="63"/>
      <c r="AC99" s="63"/>
      <c r="AD99" s="75">
        <f t="shared" si="108"/>
        <v>100320</v>
      </c>
      <c r="AE99" s="194"/>
      <c r="AF99" s="63">
        <f>(21.75*8*190)*(AF48+AF49)</f>
        <v>66120</v>
      </c>
      <c r="AG99" s="63"/>
      <c r="AH99" s="63"/>
      <c r="AI99" s="63"/>
      <c r="AJ99" s="75">
        <f t="shared" si="109"/>
        <v>66120</v>
      </c>
      <c r="AL99" s="63"/>
      <c r="AM99" s="63"/>
      <c r="AN99" s="63"/>
      <c r="AO99" s="63"/>
      <c r="AP99" s="75">
        <f t="shared" si="110"/>
        <v>0</v>
      </c>
      <c r="AR99" s="75">
        <f t="shared" si="111"/>
        <v>736432.82310018002</v>
      </c>
      <c r="AS99" s="75">
        <f t="shared" si="103"/>
        <v>0</v>
      </c>
      <c r="AT99" s="75">
        <f t="shared" si="103"/>
        <v>0</v>
      </c>
      <c r="AU99" s="75">
        <f t="shared" si="103"/>
        <v>0</v>
      </c>
      <c r="AV99" s="75">
        <f t="shared" si="112"/>
        <v>736432.82310018002</v>
      </c>
    </row>
    <row r="100" spans="1:48" x14ac:dyDescent="0.25">
      <c r="A100" s="21" t="s">
        <v>82</v>
      </c>
      <c r="B100" s="63"/>
      <c r="C100" s="63"/>
      <c r="D100" s="63"/>
      <c r="E100" s="63"/>
      <c r="F100" s="75">
        <f t="shared" si="104"/>
        <v>0</v>
      </c>
      <c r="H100" s="63"/>
      <c r="I100" s="63"/>
      <c r="J100" s="63"/>
      <c r="K100" s="63"/>
      <c r="L100" s="75">
        <f t="shared" si="105"/>
        <v>0</v>
      </c>
      <c r="N100" s="63">
        <f>50000*1.01*1.01*1.01*1.01*1.01</f>
        <v>52550.502505000004</v>
      </c>
      <c r="O100" s="63"/>
      <c r="P100" s="63"/>
      <c r="Q100" s="63"/>
      <c r="R100" s="75">
        <f t="shared" si="106"/>
        <v>52550.502505000004</v>
      </c>
      <c r="T100" s="63"/>
      <c r="U100" s="63"/>
      <c r="V100" s="63"/>
      <c r="W100" s="63"/>
      <c r="X100" s="75">
        <f t="shared" si="107"/>
        <v>0</v>
      </c>
      <c r="Y100" s="194"/>
      <c r="Z100" s="63"/>
      <c r="AA100" s="63"/>
      <c r="AB100" s="63"/>
      <c r="AC100" s="63"/>
      <c r="AD100" s="75">
        <f t="shared" si="108"/>
        <v>0</v>
      </c>
      <c r="AE100" s="194"/>
      <c r="AF100" s="63"/>
      <c r="AG100" s="63"/>
      <c r="AH100" s="63"/>
      <c r="AI100" s="63"/>
      <c r="AJ100" s="75">
        <f t="shared" si="109"/>
        <v>0</v>
      </c>
      <c r="AL100" s="63"/>
      <c r="AM100" s="63"/>
      <c r="AN100" s="63"/>
      <c r="AO100" s="63"/>
      <c r="AP100" s="75">
        <f t="shared" si="110"/>
        <v>0</v>
      </c>
      <c r="AR100" s="75">
        <f t="shared" si="111"/>
        <v>52550.502505000004</v>
      </c>
      <c r="AS100" s="75">
        <f t="shared" si="103"/>
        <v>0</v>
      </c>
      <c r="AT100" s="75">
        <f t="shared" si="103"/>
        <v>0</v>
      </c>
      <c r="AU100" s="75">
        <f t="shared" si="103"/>
        <v>0</v>
      </c>
      <c r="AV100" s="75">
        <f t="shared" si="112"/>
        <v>52550.502505000004</v>
      </c>
    </row>
    <row r="101" spans="1:48" x14ac:dyDescent="0.25">
      <c r="A101" s="21" t="s">
        <v>83</v>
      </c>
      <c r="B101" s="63">
        <f>(22.25*8*240)*B51</f>
        <v>170880</v>
      </c>
      <c r="C101" s="63"/>
      <c r="D101" s="63"/>
      <c r="E101" s="63"/>
      <c r="F101" s="75">
        <f t="shared" si="104"/>
        <v>170880</v>
      </c>
      <c r="H101" s="63">
        <f>(22.25*8*240)*H51</f>
        <v>128160</v>
      </c>
      <c r="I101" s="63"/>
      <c r="J101" s="63"/>
      <c r="K101" s="63"/>
      <c r="L101" s="75">
        <f t="shared" si="105"/>
        <v>128160</v>
      </c>
      <c r="N101" s="63">
        <f>(22.25*8*240)*(N51-2)+(47500+61800)*1.01*1.01*1.01*1.01*1.01</f>
        <v>584795.39847592998</v>
      </c>
      <c r="O101" s="63"/>
      <c r="P101" s="63"/>
      <c r="Q101" s="63"/>
      <c r="R101" s="75">
        <f t="shared" si="106"/>
        <v>584795.39847592998</v>
      </c>
      <c r="T101" s="63">
        <f>21.25*8*60+(21.25*5*180)</f>
        <v>29325</v>
      </c>
      <c r="U101" s="63"/>
      <c r="V101" s="63">
        <f>21.25*3*180</f>
        <v>11475</v>
      </c>
      <c r="W101" s="63"/>
      <c r="X101" s="75">
        <f t="shared" si="107"/>
        <v>40800</v>
      </c>
      <c r="Y101" s="194"/>
      <c r="Z101" s="63">
        <f>(22.25*8*240)*Z51</f>
        <v>213600</v>
      </c>
      <c r="AA101" s="63"/>
      <c r="AB101" s="63">
        <v>0</v>
      </c>
      <c r="AC101" s="63"/>
      <c r="AD101" s="75">
        <f t="shared" si="108"/>
        <v>213600</v>
      </c>
      <c r="AE101" s="194"/>
      <c r="AF101" s="63">
        <f>(23.75*8*240)*AF51</f>
        <v>136800</v>
      </c>
      <c r="AG101" s="63"/>
      <c r="AH101" s="63">
        <f>(20.75*8*185)*AH50</f>
        <v>61420</v>
      </c>
      <c r="AI101" s="63"/>
      <c r="AJ101" s="75">
        <f t="shared" si="109"/>
        <v>198220</v>
      </c>
      <c r="AL101" s="63"/>
      <c r="AM101" s="63"/>
      <c r="AN101" s="63"/>
      <c r="AO101" s="63"/>
      <c r="AP101" s="75">
        <f t="shared" si="110"/>
        <v>0</v>
      </c>
      <c r="AR101" s="75">
        <f t="shared" si="111"/>
        <v>1263560.3984759301</v>
      </c>
      <c r="AS101" s="75">
        <f t="shared" si="103"/>
        <v>0</v>
      </c>
      <c r="AT101" s="75">
        <f t="shared" si="103"/>
        <v>72895</v>
      </c>
      <c r="AU101" s="75">
        <f t="shared" si="103"/>
        <v>0</v>
      </c>
      <c r="AV101" s="75">
        <f t="shared" si="112"/>
        <v>1336455.3984759301</v>
      </c>
    </row>
    <row r="102" spans="1:48" x14ac:dyDescent="0.25">
      <c r="A102" s="21" t="s">
        <v>84</v>
      </c>
      <c r="B102" s="63"/>
      <c r="C102" s="63"/>
      <c r="D102" s="63">
        <f>(22.25*8*180*2)+(30*8*180)</f>
        <v>107280</v>
      </c>
      <c r="E102" s="63"/>
      <c r="F102" s="75">
        <f t="shared" si="104"/>
        <v>107280</v>
      </c>
      <c r="H102" s="63"/>
      <c r="I102" s="63"/>
      <c r="J102" s="63">
        <f>(22.25*8*180*2)+(29.75*8*180)</f>
        <v>106920</v>
      </c>
      <c r="K102" s="63"/>
      <c r="L102" s="75">
        <f t="shared" si="105"/>
        <v>106920</v>
      </c>
      <c r="N102" s="63"/>
      <c r="O102" s="63"/>
      <c r="P102" s="63">
        <f>(22.25*8*180*8)+(37*8*180)</f>
        <v>309600</v>
      </c>
      <c r="Q102" s="63"/>
      <c r="R102" s="75">
        <f t="shared" si="106"/>
        <v>309600</v>
      </c>
      <c r="T102" s="63"/>
      <c r="U102" s="63"/>
      <c r="V102" s="63"/>
      <c r="W102" s="63"/>
      <c r="X102" s="75">
        <f t="shared" si="107"/>
        <v>0</v>
      </c>
      <c r="Y102" s="194"/>
      <c r="Z102" s="63"/>
      <c r="AA102" s="63"/>
      <c r="AB102" s="63"/>
      <c r="AC102" s="63"/>
      <c r="AD102" s="75">
        <f t="shared" si="108"/>
        <v>0</v>
      </c>
      <c r="AE102" s="194"/>
      <c r="AF102" s="63"/>
      <c r="AG102" s="63"/>
      <c r="AH102" s="63"/>
      <c r="AI102" s="63"/>
      <c r="AJ102" s="75">
        <f t="shared" si="109"/>
        <v>0</v>
      </c>
      <c r="AL102" s="63"/>
      <c r="AM102" s="63"/>
      <c r="AN102" s="63">
        <f>64375*1.015*1.01*1.01*1.01*1.01</f>
        <v>67993.716390906236</v>
      </c>
      <c r="AO102" s="63"/>
      <c r="AP102" s="75">
        <f t="shared" si="110"/>
        <v>67993.716390906236</v>
      </c>
      <c r="AR102" s="75">
        <f t="shared" si="111"/>
        <v>0</v>
      </c>
      <c r="AS102" s="75">
        <f t="shared" si="103"/>
        <v>0</v>
      </c>
      <c r="AT102" s="75">
        <f t="shared" si="103"/>
        <v>591793.71639090625</v>
      </c>
      <c r="AU102" s="75">
        <f t="shared" si="103"/>
        <v>0</v>
      </c>
      <c r="AV102" s="75">
        <f t="shared" si="112"/>
        <v>591793.71639090625</v>
      </c>
    </row>
    <row r="103" spans="1:48" x14ac:dyDescent="0.25">
      <c r="A103" s="21" t="s">
        <v>85</v>
      </c>
      <c r="B103" s="63"/>
      <c r="C103" s="63"/>
      <c r="D103" s="63"/>
      <c r="E103" s="63"/>
      <c r="F103" s="75">
        <f t="shared" si="104"/>
        <v>0</v>
      </c>
      <c r="H103" s="63"/>
      <c r="I103" s="63"/>
      <c r="J103" s="63"/>
      <c r="K103" s="63"/>
      <c r="L103" s="75">
        <f t="shared" si="105"/>
        <v>0</v>
      </c>
      <c r="N103" s="63"/>
      <c r="O103" s="63"/>
      <c r="P103" s="63"/>
      <c r="Q103" s="63"/>
      <c r="R103" s="75">
        <f t="shared" si="106"/>
        <v>0</v>
      </c>
      <c r="T103" s="63"/>
      <c r="U103" s="63"/>
      <c r="V103" s="63"/>
      <c r="W103" s="63"/>
      <c r="X103" s="75">
        <f t="shared" si="107"/>
        <v>0</v>
      </c>
      <c r="Y103" s="194"/>
      <c r="Z103" s="63"/>
      <c r="AA103" s="63"/>
      <c r="AB103" s="63">
        <f>(22*8*190)*(AB52)</f>
        <v>66880</v>
      </c>
      <c r="AC103" s="63"/>
      <c r="AD103" s="75">
        <f t="shared" si="108"/>
        <v>66880</v>
      </c>
      <c r="AE103" s="194"/>
      <c r="AF103" s="63"/>
      <c r="AG103" s="63"/>
      <c r="AH103" s="63"/>
      <c r="AI103" s="63"/>
      <c r="AJ103" s="75">
        <f t="shared" si="109"/>
        <v>0</v>
      </c>
      <c r="AL103" s="63"/>
      <c r="AM103" s="63"/>
      <c r="AN103" s="63"/>
      <c r="AO103" s="63"/>
      <c r="AP103" s="75">
        <f t="shared" si="110"/>
        <v>0</v>
      </c>
      <c r="AR103" s="75">
        <f t="shared" si="111"/>
        <v>0</v>
      </c>
      <c r="AS103" s="75">
        <f t="shared" si="103"/>
        <v>0</v>
      </c>
      <c r="AT103" s="75">
        <f t="shared" si="103"/>
        <v>66880</v>
      </c>
      <c r="AU103" s="75">
        <f t="shared" si="103"/>
        <v>0</v>
      </c>
      <c r="AV103" s="75">
        <f t="shared" si="112"/>
        <v>66880</v>
      </c>
    </row>
    <row r="104" spans="1:48" x14ac:dyDescent="0.25">
      <c r="A104" s="21" t="s">
        <v>49</v>
      </c>
      <c r="B104" s="63"/>
      <c r="C104" s="63">
        <f>92700*1.01*1.01*1.01*1.01*1.01</f>
        <v>97428.631644270004</v>
      </c>
      <c r="D104" s="63"/>
      <c r="E104" s="63"/>
      <c r="F104" s="75">
        <f t="shared" si="104"/>
        <v>97428.631644270004</v>
      </c>
      <c r="H104" s="63"/>
      <c r="I104" s="63">
        <f>92700*1.01*1.01*1.01*1.01*1.01</f>
        <v>97428.631644270004</v>
      </c>
      <c r="J104" s="63"/>
      <c r="K104" s="63"/>
      <c r="L104" s="75">
        <f t="shared" si="105"/>
        <v>97428.631644270004</v>
      </c>
      <c r="N104" s="63"/>
      <c r="O104" s="63">
        <f>83100*1.01*1.01*1.01*1.01*1.01</f>
        <v>87338.935163310001</v>
      </c>
      <c r="P104" s="63"/>
      <c r="Q104" s="63"/>
      <c r="R104" s="75">
        <f t="shared" si="106"/>
        <v>87338.935163310001</v>
      </c>
      <c r="T104" s="63"/>
      <c r="U104" s="63"/>
      <c r="V104" s="63"/>
      <c r="W104" s="63"/>
      <c r="X104" s="75">
        <f t="shared" si="107"/>
        <v>0</v>
      </c>
      <c r="Y104" s="194"/>
      <c r="Z104" s="63"/>
      <c r="AA104" s="63"/>
      <c r="AB104" s="63"/>
      <c r="AC104" s="63"/>
      <c r="AD104" s="75">
        <f t="shared" si="108"/>
        <v>0</v>
      </c>
      <c r="AE104" s="194"/>
      <c r="AF104" s="63"/>
      <c r="AG104" s="63"/>
      <c r="AH104" s="63"/>
      <c r="AI104" s="63"/>
      <c r="AJ104" s="75">
        <f t="shared" si="109"/>
        <v>0</v>
      </c>
      <c r="AL104" s="63"/>
      <c r="AM104" s="63"/>
      <c r="AN104" s="63"/>
      <c r="AO104" s="63"/>
      <c r="AP104" s="75">
        <f t="shared" si="110"/>
        <v>0</v>
      </c>
      <c r="AR104" s="75">
        <f t="shared" si="111"/>
        <v>0</v>
      </c>
      <c r="AS104" s="75">
        <f t="shared" si="103"/>
        <v>282196.19845184998</v>
      </c>
      <c r="AT104" s="75">
        <f t="shared" si="103"/>
        <v>0</v>
      </c>
      <c r="AU104" s="75">
        <f t="shared" si="103"/>
        <v>0</v>
      </c>
      <c r="AV104" s="75">
        <f t="shared" si="112"/>
        <v>282196.19845184998</v>
      </c>
    </row>
    <row r="105" spans="1:48" x14ac:dyDescent="0.25">
      <c r="A105" s="21" t="s">
        <v>86</v>
      </c>
      <c r="B105" s="63"/>
      <c r="C105" s="63">
        <f>65000*1.01*1.01*1.01*1.01*1.01</f>
        <v>68315.653256499994</v>
      </c>
      <c r="D105" s="63"/>
      <c r="E105" s="63"/>
      <c r="F105" s="75">
        <f t="shared" si="104"/>
        <v>68315.653256499994</v>
      </c>
      <c r="H105" s="63"/>
      <c r="I105" s="63">
        <f>65000*1.01*1.01*1.01*1.01*1.01</f>
        <v>68315.653256499994</v>
      </c>
      <c r="J105" s="63"/>
      <c r="K105" s="63"/>
      <c r="L105" s="75">
        <f t="shared" si="105"/>
        <v>68315.653256499994</v>
      </c>
      <c r="N105" s="63"/>
      <c r="O105" s="63">
        <f>65000*1.01*1.01*1.01*1.01*1.01</f>
        <v>68315.653256499994</v>
      </c>
      <c r="P105" s="63"/>
      <c r="Q105" s="63"/>
      <c r="R105" s="75">
        <f t="shared" si="106"/>
        <v>68315.653256499994</v>
      </c>
      <c r="T105" s="63"/>
      <c r="U105" s="63"/>
      <c r="V105" s="63"/>
      <c r="W105" s="63"/>
      <c r="X105" s="75">
        <f t="shared" si="107"/>
        <v>0</v>
      </c>
      <c r="Y105" s="194"/>
      <c r="Z105" s="63"/>
      <c r="AA105" s="63"/>
      <c r="AB105" s="63"/>
      <c r="AC105" s="63"/>
      <c r="AD105" s="75">
        <f t="shared" si="108"/>
        <v>0</v>
      </c>
      <c r="AE105" s="194"/>
      <c r="AF105" s="63"/>
      <c r="AG105" s="63"/>
      <c r="AH105" s="63"/>
      <c r="AI105" s="63"/>
      <c r="AJ105" s="75">
        <f t="shared" si="109"/>
        <v>0</v>
      </c>
      <c r="AL105" s="63"/>
      <c r="AM105" s="63"/>
      <c r="AN105" s="63"/>
      <c r="AO105" s="63"/>
      <c r="AP105" s="75">
        <f t="shared" si="110"/>
        <v>0</v>
      </c>
      <c r="AR105" s="75">
        <f t="shared" si="111"/>
        <v>0</v>
      </c>
      <c r="AS105" s="75">
        <f t="shared" si="103"/>
        <v>204946.95976949998</v>
      </c>
      <c r="AT105" s="75">
        <f t="shared" si="103"/>
        <v>0</v>
      </c>
      <c r="AU105" s="75">
        <f t="shared" si="103"/>
        <v>0</v>
      </c>
      <c r="AV105" s="75">
        <f t="shared" si="112"/>
        <v>204946.95976949998</v>
      </c>
    </row>
    <row r="106" spans="1:48" x14ac:dyDescent="0.25">
      <c r="A106" s="21" t="s">
        <v>87</v>
      </c>
      <c r="B106" s="63"/>
      <c r="C106" s="63">
        <f>46000*1.01*1.01*1.01*1.01*1.01</f>
        <v>48346.462304599998</v>
      </c>
      <c r="D106" s="63"/>
      <c r="E106" s="63"/>
      <c r="F106" s="75">
        <f t="shared" si="104"/>
        <v>48346.462304599998</v>
      </c>
      <c r="H106" s="63"/>
      <c r="I106" s="63">
        <f>46000*1.01*1.01*1.01*1.01*1.01</f>
        <v>48346.462304599998</v>
      </c>
      <c r="J106" s="63"/>
      <c r="K106" s="63"/>
      <c r="L106" s="75">
        <f t="shared" si="105"/>
        <v>48346.462304599998</v>
      </c>
      <c r="N106" s="63"/>
      <c r="O106" s="63">
        <f>98000*1.01*1.01*1.01*1.01*1.01</f>
        <v>102998.98490980001</v>
      </c>
      <c r="P106" s="63"/>
      <c r="Q106" s="63"/>
      <c r="R106" s="75">
        <f t="shared" si="106"/>
        <v>102998.98490980001</v>
      </c>
      <c r="T106" s="63"/>
      <c r="U106" s="63"/>
      <c r="V106" s="63"/>
      <c r="W106" s="63"/>
      <c r="X106" s="75">
        <f t="shared" si="107"/>
        <v>0</v>
      </c>
      <c r="Y106" s="194"/>
      <c r="Z106" s="63"/>
      <c r="AA106" s="63"/>
      <c r="AB106" s="63"/>
      <c r="AC106" s="63"/>
      <c r="AD106" s="75">
        <f t="shared" si="108"/>
        <v>0</v>
      </c>
      <c r="AE106" s="194"/>
      <c r="AF106" s="63"/>
      <c r="AG106" s="63"/>
      <c r="AH106" s="63"/>
      <c r="AI106" s="63"/>
      <c r="AJ106" s="75">
        <f t="shared" si="109"/>
        <v>0</v>
      </c>
      <c r="AL106" s="63"/>
      <c r="AM106" s="63">
        <f>(80000+90000)*1.01*1.01*1.01*1.01*1.01</f>
        <v>178671.70851700002</v>
      </c>
      <c r="AN106" s="63"/>
      <c r="AO106" s="63"/>
      <c r="AP106" s="75">
        <f t="shared" si="110"/>
        <v>178671.70851700002</v>
      </c>
      <c r="AR106" s="75">
        <f t="shared" si="111"/>
        <v>0</v>
      </c>
      <c r="AS106" s="75">
        <f t="shared" si="103"/>
        <v>378363.61803600006</v>
      </c>
      <c r="AT106" s="75">
        <f t="shared" si="103"/>
        <v>0</v>
      </c>
      <c r="AU106" s="75">
        <f t="shared" si="103"/>
        <v>0</v>
      </c>
      <c r="AV106" s="75">
        <f t="shared" si="112"/>
        <v>378363.61803600006</v>
      </c>
    </row>
    <row r="107" spans="1:48" x14ac:dyDescent="0.25">
      <c r="A107" s="21" t="s">
        <v>53</v>
      </c>
      <c r="B107" s="63"/>
      <c r="C107" s="63"/>
      <c r="D107" s="63"/>
      <c r="E107" s="63"/>
      <c r="F107" s="75">
        <f t="shared" si="104"/>
        <v>0</v>
      </c>
      <c r="H107" s="63"/>
      <c r="I107" s="63"/>
      <c r="J107" s="63"/>
      <c r="K107" s="63"/>
      <c r="L107" s="75">
        <f t="shared" si="105"/>
        <v>0</v>
      </c>
      <c r="N107" s="63">
        <f>90700*1.01*1.01*1.01*1.01*1.01</f>
        <v>95326.611544070009</v>
      </c>
      <c r="O107" s="63"/>
      <c r="P107" s="63"/>
      <c r="Q107" s="63"/>
      <c r="R107" s="75">
        <f t="shared" si="106"/>
        <v>95326.611544070009</v>
      </c>
      <c r="T107" s="63"/>
      <c r="U107" s="63"/>
      <c r="V107" s="63"/>
      <c r="W107" s="63"/>
      <c r="X107" s="75">
        <f t="shared" si="107"/>
        <v>0</v>
      </c>
      <c r="Y107" s="194"/>
      <c r="Z107" s="63"/>
      <c r="AA107" s="63"/>
      <c r="AB107" s="63"/>
      <c r="AC107" s="63"/>
      <c r="AD107" s="75">
        <f t="shared" si="108"/>
        <v>0</v>
      </c>
      <c r="AE107" s="194"/>
      <c r="AF107" s="63"/>
      <c r="AG107" s="63"/>
      <c r="AH107" s="63"/>
      <c r="AI107" s="63"/>
      <c r="AJ107" s="75">
        <f t="shared" si="109"/>
        <v>0</v>
      </c>
      <c r="AL107" s="63"/>
      <c r="AM107" s="63"/>
      <c r="AN107" s="63"/>
      <c r="AO107" s="63"/>
      <c r="AP107" s="75">
        <f t="shared" si="110"/>
        <v>0</v>
      </c>
      <c r="AR107" s="75">
        <f t="shared" si="111"/>
        <v>95326.611544070009</v>
      </c>
      <c r="AS107" s="75">
        <f t="shared" si="103"/>
        <v>0</v>
      </c>
      <c r="AT107" s="75">
        <f t="shared" si="103"/>
        <v>0</v>
      </c>
      <c r="AU107" s="75">
        <f t="shared" si="103"/>
        <v>0</v>
      </c>
      <c r="AV107" s="75">
        <f t="shared" si="112"/>
        <v>95326.611544070009</v>
      </c>
    </row>
    <row r="108" spans="1:48" x14ac:dyDescent="0.25">
      <c r="A108" s="22" t="s">
        <v>88</v>
      </c>
      <c r="B108" s="64">
        <f>(47000*1.01*1.01*1.01*1.01*1.01)+(25.25*7.5*230)</f>
        <v>92953.722354700003</v>
      </c>
      <c r="C108" s="64"/>
      <c r="D108" s="64"/>
      <c r="E108" s="64"/>
      <c r="F108" s="75">
        <f t="shared" si="104"/>
        <v>92953.722354700003</v>
      </c>
      <c r="H108" s="64">
        <f>65000*1.01*1.01*1.01*1.01*1.01</f>
        <v>68315.653256499994</v>
      </c>
      <c r="I108" s="64"/>
      <c r="J108" s="64"/>
      <c r="K108" s="64"/>
      <c r="L108" s="75">
        <f t="shared" si="105"/>
        <v>68315.653256499994</v>
      </c>
      <c r="N108" s="64">
        <f>61800*1.01*1.01*1.01*1.01*1.01</f>
        <v>64952.421096180005</v>
      </c>
      <c r="O108" s="64"/>
      <c r="P108" s="64"/>
      <c r="Q108" s="64"/>
      <c r="R108" s="75">
        <f t="shared" si="106"/>
        <v>64952.421096180005</v>
      </c>
      <c r="T108" s="64"/>
      <c r="U108" s="64"/>
      <c r="V108" s="64"/>
      <c r="W108" s="64"/>
      <c r="X108" s="75">
        <f t="shared" si="107"/>
        <v>0</v>
      </c>
      <c r="Y108" s="194"/>
      <c r="Z108" s="64"/>
      <c r="AA108" s="64"/>
      <c r="AB108" s="64"/>
      <c r="AC108" s="64"/>
      <c r="AD108" s="75">
        <f t="shared" si="108"/>
        <v>0</v>
      </c>
      <c r="AE108" s="194"/>
      <c r="AF108" s="64"/>
      <c r="AG108" s="64"/>
      <c r="AH108" s="64"/>
      <c r="AI108" s="64"/>
      <c r="AJ108" s="75">
        <f t="shared" si="109"/>
        <v>0</v>
      </c>
      <c r="AL108" s="64"/>
      <c r="AM108" s="64"/>
      <c r="AN108" s="64"/>
      <c r="AO108" s="64"/>
      <c r="AP108" s="75">
        <f t="shared" si="110"/>
        <v>0</v>
      </c>
      <c r="AR108" s="75">
        <f t="shared" si="111"/>
        <v>226221.79670738001</v>
      </c>
      <c r="AS108" s="75">
        <f t="shared" si="103"/>
        <v>0</v>
      </c>
      <c r="AT108" s="75">
        <f t="shared" si="103"/>
        <v>0</v>
      </c>
      <c r="AU108" s="75">
        <f t="shared" si="103"/>
        <v>0</v>
      </c>
      <c r="AV108" s="75">
        <f t="shared" si="112"/>
        <v>226221.79670738001</v>
      </c>
    </row>
    <row r="109" spans="1:48" x14ac:dyDescent="0.25">
      <c r="A109" s="27"/>
      <c r="B109" s="76">
        <f t="shared" ref="B109:E109" si="113">SUM(B93:B108)</f>
        <v>1292998.7016278678</v>
      </c>
      <c r="C109" s="76">
        <f t="shared" si="113"/>
        <v>214090.74720536999</v>
      </c>
      <c r="D109" s="76">
        <f t="shared" si="113"/>
        <v>107280</v>
      </c>
      <c r="E109" s="76">
        <f t="shared" si="113"/>
        <v>0</v>
      </c>
      <c r="F109" s="76">
        <f t="shared" ref="F109" si="114">SUM(F93:F108)</f>
        <v>1614369.4488332376</v>
      </c>
      <c r="H109" s="76">
        <f t="shared" ref="H109:L109" si="115">SUM(H93:H108)</f>
        <v>1439286.376410794</v>
      </c>
      <c r="I109" s="76">
        <f t="shared" si="115"/>
        <v>214090.74720536999</v>
      </c>
      <c r="J109" s="76">
        <f t="shared" si="115"/>
        <v>106920</v>
      </c>
      <c r="K109" s="76">
        <f t="shared" si="115"/>
        <v>0</v>
      </c>
      <c r="L109" s="76">
        <f t="shared" si="115"/>
        <v>1760297.1236161639</v>
      </c>
      <c r="N109" s="76">
        <f t="shared" ref="N109:R109" si="116">SUM(N93:N108)</f>
        <v>2623994.7250499339</v>
      </c>
      <c r="O109" s="76">
        <f t="shared" si="116"/>
        <v>258653.57332960999</v>
      </c>
      <c r="P109" s="76">
        <f t="shared" si="116"/>
        <v>309600</v>
      </c>
      <c r="Q109" s="76">
        <f t="shared" si="116"/>
        <v>0</v>
      </c>
      <c r="R109" s="76">
        <f t="shared" si="116"/>
        <v>3192248.2983795437</v>
      </c>
      <c r="T109" s="76">
        <f t="shared" ref="T109:X109" si="117">SUM(T93:T108)</f>
        <v>257394.18087170002</v>
      </c>
      <c r="U109" s="76">
        <f t="shared" si="117"/>
        <v>0</v>
      </c>
      <c r="V109" s="76">
        <f t="shared" si="117"/>
        <v>11475</v>
      </c>
      <c r="W109" s="76">
        <f t="shared" si="117"/>
        <v>0</v>
      </c>
      <c r="X109" s="76">
        <f t="shared" si="117"/>
        <v>268869.18087170005</v>
      </c>
      <c r="Y109" s="199"/>
      <c r="Z109" s="76">
        <f t="shared" ref="Z109:AD109" si="118">SUM(Z93:Z108)</f>
        <v>1121944.7060499999</v>
      </c>
      <c r="AA109" s="76">
        <f t="shared" si="118"/>
        <v>0</v>
      </c>
      <c r="AB109" s="76">
        <f t="shared" si="118"/>
        <v>66880</v>
      </c>
      <c r="AC109" s="76">
        <f t="shared" si="118"/>
        <v>0</v>
      </c>
      <c r="AD109" s="76">
        <f t="shared" si="118"/>
        <v>1188824.7060499999</v>
      </c>
      <c r="AE109" s="199"/>
      <c r="AF109" s="76">
        <f t="shared" ref="AF109:AJ109" si="119">SUM(AF93:AF108)</f>
        <v>1039555.015</v>
      </c>
      <c r="AG109" s="76">
        <f t="shared" si="119"/>
        <v>0</v>
      </c>
      <c r="AH109" s="76">
        <f t="shared" si="119"/>
        <v>61420</v>
      </c>
      <c r="AI109" s="76">
        <f t="shared" si="119"/>
        <v>0</v>
      </c>
      <c r="AJ109" s="76">
        <f t="shared" si="119"/>
        <v>1100975.0150000001</v>
      </c>
      <c r="AL109" s="76">
        <f t="shared" ref="AL109:AP109" si="120">SUM(AL93:AL108)</f>
        <v>167741.20399596001</v>
      </c>
      <c r="AM109" s="76">
        <f t="shared" si="120"/>
        <v>303163.84895134502</v>
      </c>
      <c r="AN109" s="76">
        <f t="shared" si="120"/>
        <v>67993.716390906236</v>
      </c>
      <c r="AO109" s="76">
        <f t="shared" si="120"/>
        <v>200000</v>
      </c>
      <c r="AP109" s="76">
        <f t="shared" si="120"/>
        <v>738898.76933821128</v>
      </c>
      <c r="AR109" s="76">
        <f t="shared" ref="AR109:AV109" si="121">SUM(AR93:AR108)</f>
        <v>7942914.9090062557</v>
      </c>
      <c r="AS109" s="76">
        <f t="shared" si="121"/>
        <v>989998.91669169499</v>
      </c>
      <c r="AT109" s="76">
        <f t="shared" si="121"/>
        <v>731568.71639090625</v>
      </c>
      <c r="AU109" s="76">
        <f t="shared" si="121"/>
        <v>200000</v>
      </c>
      <c r="AV109" s="76">
        <f t="shared" si="121"/>
        <v>9864482.5420888588</v>
      </c>
    </row>
    <row r="110" spans="1:48" x14ac:dyDescent="0.25">
      <c r="A110" s="20" t="s">
        <v>305</v>
      </c>
      <c r="B110" s="75">
        <f>B109*0.3925</f>
        <v>507501.99038893811</v>
      </c>
      <c r="C110" s="75">
        <f t="shared" ref="C110:E110" si="122">C109*0.3925</f>
        <v>84030.618278107722</v>
      </c>
      <c r="D110" s="75">
        <f t="shared" si="122"/>
        <v>42107.4</v>
      </c>
      <c r="E110" s="75">
        <f t="shared" si="122"/>
        <v>0</v>
      </c>
      <c r="F110" s="75">
        <f>SUM(B110:E110)</f>
        <v>633640.00866704585</v>
      </c>
      <c r="H110" s="75">
        <f>H109*0.3925</f>
        <v>564919.90274123661</v>
      </c>
      <c r="I110" s="75">
        <f t="shared" ref="I110" si="123">I109*0.3925</f>
        <v>84030.618278107722</v>
      </c>
      <c r="J110" s="75">
        <f t="shared" ref="J110" si="124">J109*0.3925</f>
        <v>41966.1</v>
      </c>
      <c r="K110" s="75">
        <f t="shared" ref="K110" si="125">K109*0.3925</f>
        <v>0</v>
      </c>
      <c r="L110" s="75">
        <f>SUM(H110:K110)</f>
        <v>690916.62101934431</v>
      </c>
      <c r="N110" s="75">
        <f>(N109-N93)*0.3925+(N93*0.15)</f>
        <v>972381.04127065581</v>
      </c>
      <c r="O110" s="75">
        <f>O109*0.3925</f>
        <v>101521.52753187192</v>
      </c>
      <c r="P110" s="75">
        <f t="shared" ref="P110:Q110" si="126">P109*0.3925</f>
        <v>121518</v>
      </c>
      <c r="Q110" s="75">
        <f t="shared" si="126"/>
        <v>0</v>
      </c>
      <c r="R110" s="75">
        <f>SUM(N110:Q110)</f>
        <v>1195420.5688025276</v>
      </c>
      <c r="T110" s="75">
        <f>T109*0.3925</f>
        <v>101027.21599214226</v>
      </c>
      <c r="U110" s="75">
        <f t="shared" ref="U110" si="127">U109*0.3925</f>
        <v>0</v>
      </c>
      <c r="V110" s="75">
        <f t="shared" ref="V110" si="128">V109*0.3925</f>
        <v>4503.9375</v>
      </c>
      <c r="W110" s="75">
        <f t="shared" ref="W110" si="129">W109*0.3925</f>
        <v>0</v>
      </c>
      <c r="X110" s="75">
        <f>SUM(T110:W110)</f>
        <v>105531.15349214226</v>
      </c>
      <c r="Y110" s="194"/>
      <c r="Z110" s="75">
        <f>Z109*0.3925</f>
        <v>440363.29712462501</v>
      </c>
      <c r="AA110" s="75">
        <f t="shared" ref="AA110:AC110" si="130">AA109*0.3925</f>
        <v>0</v>
      </c>
      <c r="AB110" s="75">
        <f t="shared" si="130"/>
        <v>26250.400000000001</v>
      </c>
      <c r="AC110" s="75">
        <f t="shared" si="130"/>
        <v>0</v>
      </c>
      <c r="AD110" s="75">
        <f>SUM(Z110:AC110)</f>
        <v>466613.69712462503</v>
      </c>
      <c r="AE110" s="194"/>
      <c r="AF110" s="75">
        <f>AF109*0.3925</f>
        <v>408025.34338750003</v>
      </c>
      <c r="AG110" s="75">
        <f t="shared" ref="AG110:AH110" si="131">AG109*0.3925</f>
        <v>0</v>
      </c>
      <c r="AH110" s="75">
        <f t="shared" si="131"/>
        <v>24107.350000000002</v>
      </c>
      <c r="AI110" s="75">
        <f t="shared" ref="AI110" si="132">AI109*0.3875</f>
        <v>0</v>
      </c>
      <c r="AJ110" s="75">
        <f>SUM(AF110:AI110)</f>
        <v>432132.69338750001</v>
      </c>
      <c r="AL110" s="60">
        <f>AL109*0.3925</f>
        <v>65838.422568414302</v>
      </c>
      <c r="AM110" s="60">
        <f t="shared" ref="AM110:AO110" si="133">AM109*0.3925</f>
        <v>118991.81071340293</v>
      </c>
      <c r="AN110" s="60">
        <f t="shared" si="133"/>
        <v>26687.533683430698</v>
      </c>
      <c r="AO110" s="60">
        <f t="shared" si="133"/>
        <v>78500</v>
      </c>
      <c r="AP110" s="75">
        <f>SUM(AL110:AO110)</f>
        <v>290017.76696524792</v>
      </c>
      <c r="AR110" s="60">
        <f>B110+H110+N110+T110+AL110+AF110+Z110</f>
        <v>3060057.2134735123</v>
      </c>
      <c r="AS110" s="60">
        <f t="shared" ref="AS110:AU115" si="134">C110+I110+O110+U110+AM110+AG110+AA110</f>
        <v>388574.57480149029</v>
      </c>
      <c r="AT110" s="60">
        <f t="shared" si="134"/>
        <v>287140.72118343069</v>
      </c>
      <c r="AU110" s="60">
        <f t="shared" si="134"/>
        <v>78500</v>
      </c>
      <c r="AV110" s="75">
        <f>SUM(AR110:AU110)</f>
        <v>3814272.5094584334</v>
      </c>
    </row>
    <row r="111" spans="1:48" x14ac:dyDescent="0.25">
      <c r="A111" s="21" t="s">
        <v>90</v>
      </c>
      <c r="B111" s="61">
        <f>(((12700*(B64*0.9))+((260*(B64*0.85))+((120*(B64*0.85))+(B65*35)+(B109*0.015)+(B109*0.03)))))</f>
        <v>313604.44157325407</v>
      </c>
      <c r="C111" s="61">
        <f>(((12700*(C64*0.9))+((260*(C64*0.875))+((120*(C64*0.85))+(C65*35)+(C109*0.015)+(C109*0.03)))))</f>
        <v>39470.333624241648</v>
      </c>
      <c r="D111" s="61">
        <f>(((12700*(D64*0.85))+((260*(D64*0.85))+((120*(D64*0.85))+(D65*35)+(D109*0.015)+(D109*0.03)))))</f>
        <v>38286.6</v>
      </c>
      <c r="E111" s="61">
        <f t="shared" ref="E111" si="135">(((8150*(E64*0.85))+((185*(E64*0.85))+((75*(E64*0.85))+(E65*7)+(E109*0.015)+(E109*0.03)))))</f>
        <v>0</v>
      </c>
      <c r="F111" s="75">
        <f t="shared" ref="F111:F115" si="136">SUM(B111:E111)</f>
        <v>391361.37519749568</v>
      </c>
      <c r="H111" s="61">
        <f>(((12700*(H64*0.9))+((260*(H64*0.85))+((120*(H64*0.85))+(H65*35)+(H109*0.015)+(H109*0.03)))))</f>
        <v>290699.88693848578</v>
      </c>
      <c r="I111" s="61">
        <f>(((12700*(I64*0.9))+((260*(I64*0.875))+((120*(I64*0.85))+(I65*35)+(I109*0.015)+(I109*0.03)))))</f>
        <v>39452.833624241648</v>
      </c>
      <c r="J111" s="61">
        <f>(((12700*(J64*0.85))+((260*(J64*0.85))+((120*(J64*0.85))+(J65*35)+(J109*0.015)+(J109*0.03)))))</f>
        <v>38270.399999999994</v>
      </c>
      <c r="K111" s="61">
        <f t="shared" ref="K111" si="137">(((8150*(K64*0.85))+((185*(K64*0.85))+((75*(K64*0.85))+(K65*7)+(K109*0.015)+(K109*0.03)))))</f>
        <v>0</v>
      </c>
      <c r="L111" s="75">
        <f t="shared" ref="L111:L115" si="138">SUM(H111:K111)</f>
        <v>368423.12056272745</v>
      </c>
      <c r="N111" s="61">
        <f>(((12700*(N64*0.9))+((260*(N64*0.85))+((120*(N64*0.85))+(N65*35)+(N109*0.015)+(N109*0.03)))))</f>
        <v>605535.26262724702</v>
      </c>
      <c r="O111" s="61">
        <f>(((12700*(O64*0.9))+((260*(O64*0.875))+((120*(O64*0.85))+(O65*35)+(O109*0.015)+(O109*0.03)))))</f>
        <v>48002.910799832447</v>
      </c>
      <c r="P111" s="61">
        <f>(((12700*(P64*0.85))+((260*(P64*0.85))+((120*(P64*0.85))+(P65*35)+(P109*0.015)+(P109*0.03)))))</f>
        <v>114309</v>
      </c>
      <c r="Q111" s="61">
        <f t="shared" ref="Q111" si="139">(((8150*(Q64*0.85))+((185*(Q64*0.85))+((75*(Q64*0.85))+(Q65*7)+(Q109*0.015)+(Q109*0.03)))))</f>
        <v>0</v>
      </c>
      <c r="R111" s="75">
        <f t="shared" ref="R111:R115" si="140">SUM(N111:Q111)</f>
        <v>767847.17342707945</v>
      </c>
      <c r="T111" s="61">
        <f>(((12925*(T64*0.85))+((265*(T64*0.85))+((125*(T64*0.85))+(T65*40)+(T109*0.015)+(T109*0.03)))))</f>
        <v>58113.738139226502</v>
      </c>
      <c r="U111" s="61">
        <f t="shared" ref="U111:W111" si="141">(((12925*(U64*0.85))+((265*(U64*0.85))+((125*(U64*0.85))+(U65*40)+(U109*0.015)+(U109*0.03)))))</f>
        <v>240</v>
      </c>
      <c r="V111" s="61">
        <f t="shared" si="141"/>
        <v>516.375</v>
      </c>
      <c r="W111" s="61">
        <f t="shared" si="141"/>
        <v>0</v>
      </c>
      <c r="X111" s="75">
        <f t="shared" ref="X111:X115" si="142">SUM(T111:W111)</f>
        <v>58870.113139226502</v>
      </c>
      <c r="Y111" s="194"/>
      <c r="Z111" s="61">
        <f>(((12700*(Z64*0.9))+((260*(Z64*0.85))+((120*(Z64*0.85))+(Z65*35)+(Z109*0.015)+(Z109*0.03)))))</f>
        <v>253053.51177225</v>
      </c>
      <c r="AA111" s="61">
        <f>(((12700*(AA64*0.9))+((260*(AA64*0.875))+((120*(AA64*0.85))+(AA65*35)+(AA109*0.015)+(AA109*0.03)))))</f>
        <v>490</v>
      </c>
      <c r="AB111" s="61">
        <f>(((12700*(AB64*0.85))+((260*(AB64*0.85))+((120*(AB64*0.85))+(AB65*35)+(AB109*0.015)+(AB109*0.03)))))</f>
        <v>25315.599999999999</v>
      </c>
      <c r="AC111" s="61">
        <f t="shared" ref="AC111" si="143">(((8150*(AC64*0.85))+((185*(AC64*0.85))+((75*(AC64*0.85))+(AC65*7)+(AC109*0.015)+(AC109*0.03)))))</f>
        <v>0</v>
      </c>
      <c r="AD111" s="75">
        <f t="shared" ref="AD111:AD115" si="144">SUM(Z111:AC111)</f>
        <v>278859.11177224998</v>
      </c>
      <c r="AE111" s="194"/>
      <c r="AF111" s="61">
        <f>(((12700*(AF64*0.9))+((260*(AF64*0.85))+((120*(AF64*0.85))+(AF65*35)+(AF109*0.015)+(AF109*0.03)))))</f>
        <v>225314.97567499999</v>
      </c>
      <c r="AG111" s="61">
        <f>(((12700*(AG64*0.9))+((260*(AG64*0.875))+((120*(AG64*0.85))+(AG65*35)+(AG109*0.015)+(AG109*0.03)))))</f>
        <v>385</v>
      </c>
      <c r="AH111" s="61">
        <f>(((12700*(AH64*0.85))+((260*(AH64*0.85))+((120*(AH64*0.85))+(AH65*35)+(AH109*0.015)+(AH109*0.03)))))</f>
        <v>2833.8999999999996</v>
      </c>
      <c r="AI111" s="61">
        <f t="shared" ref="AI111" si="145">(((11750*(AI64*0.85))+((255*(AI64*0.85))+((115*(AI64*0.85))+(AI65*35)+(AI109*0.015)+(AI109*0.03)))))</f>
        <v>0</v>
      </c>
      <c r="AJ111" s="75">
        <f t="shared" ref="AJ111:AJ115" si="146">SUM(AF111:AI111)</f>
        <v>228533.87567499999</v>
      </c>
      <c r="AL111" s="61">
        <f>AL109*0.21</f>
        <v>35225.652839151604</v>
      </c>
      <c r="AM111" s="61">
        <f t="shared" ref="AM111:AN111" si="147">AM109*0.21</f>
        <v>63664.408279782452</v>
      </c>
      <c r="AN111" s="61">
        <f t="shared" si="147"/>
        <v>14278.68044209031</v>
      </c>
      <c r="AO111" s="61">
        <f>AO109*0.19</f>
        <v>38000</v>
      </c>
      <c r="AP111" s="75">
        <f t="shared" ref="AP111:AP115" si="148">SUM(AL111:AO111)</f>
        <v>151168.74156102436</v>
      </c>
      <c r="AR111" s="60">
        <f t="shared" ref="AR111:AR115" si="149">B111+H111+N111+T111+AL111+AF111+Z111</f>
        <v>1781547.4695646151</v>
      </c>
      <c r="AS111" s="60">
        <f t="shared" si="134"/>
        <v>191705.4863280982</v>
      </c>
      <c r="AT111" s="60">
        <f t="shared" si="134"/>
        <v>233810.55544209032</v>
      </c>
      <c r="AU111" s="60">
        <f t="shared" si="134"/>
        <v>38000</v>
      </c>
      <c r="AV111" s="75">
        <f t="shared" ref="AV111:AV115" si="150">SUM(AR111:AU111)</f>
        <v>2245063.5113348034</v>
      </c>
    </row>
    <row r="112" spans="1:48" x14ac:dyDescent="0.25">
      <c r="A112" s="21" t="s">
        <v>91</v>
      </c>
      <c r="B112" s="61">
        <f>(2500*B39)+(2000*B40)+((1500*(B42+B44+B45))+((1250*(B46+B47))+((1250*(B54+B53+B55+B56+B57+B58+B60))+((500*(B51+B49+B48))))))+(1000*5)</f>
        <v>28625</v>
      </c>
      <c r="C112" s="61">
        <f>(2500*C39)+(2000*C40)+((1500*(C42+C44+C45))+((1250*(C46+C47))+((1250*(C54+C53+C55+C56+C57+C58+C60))+((500*(C51+C49+C48))))))+(1000*2)</f>
        <v>5125</v>
      </c>
      <c r="D112" s="61">
        <f>(2500*D39)+(2000*D40)+((1500*(D42+D44+D45))+((1250*(D46+D47))+((1250*(D54+D53+D55+D56+D57+D58+D60))+((500*(D52))))))+(1000*1)</f>
        <v>2500</v>
      </c>
      <c r="E112" s="61">
        <f>(2500*E39)+(2000*E40)+((1500*(E42+E44+E45))+((1250*(E46+E47))+((1250*(E54+E53+E55+E56+E57+E58+E60))+((500*(E51+E49+E48))))))</f>
        <v>0</v>
      </c>
      <c r="F112" s="75">
        <f t="shared" si="136"/>
        <v>36250</v>
      </c>
      <c r="H112" s="61">
        <f>(2500*H39)+(2000*H40)+((1500*(H42+H44+H45))+((1250*(H46+H47))+((1250*(H54+H53+H55+H56+H57+H58+H60))+((500*(H51+H49+H48))))))+(1000*5)</f>
        <v>28000</v>
      </c>
      <c r="I112" s="61">
        <f>(2500*I39)+(2000*I40)+((1500*(I42+I44+I45))+((1250*(I46+I47))+((1250*(I54+I53+I55+I56+I57+I58+I60))+((500*(I51+I49+I48))))))+(1000*2)</f>
        <v>5125</v>
      </c>
      <c r="J112" s="61">
        <f>(2500*J39)+(2000*J40)+((1500*(J42+J44+J45))+((1250*(J46+J47))+((1250*(J54+J53+J55+J56+J57+J58+J60))+((500*(J52))))))+(1000*1)</f>
        <v>2500</v>
      </c>
      <c r="K112" s="61">
        <f>(2500*K39)+(2000*K40)+((1500*(K42+K44+K45))+((1250*(K46+K47))+((1250*(K54+K53+K55+K56+K57+K58+K60))+((500*(K51+K49+K48))))))</f>
        <v>0</v>
      </c>
      <c r="L112" s="75">
        <f t="shared" si="138"/>
        <v>35625</v>
      </c>
      <c r="N112" s="61">
        <f>(2500*N39)+(2000*N40)+((1500*(N42+N44+N45))+((1250*(N46+N47))+((1250*(N54+N53+N55+N56+N57+N58+N60))+((500*(N51+N49+N48))))))+(1000*5)</f>
        <v>43750</v>
      </c>
      <c r="O112" s="61">
        <f>(2500*O39)+(2000*O40)+((1500*(O42+O44+O45))+((1250*(O46+O47))+((1250*(O54+O53+O55+O56+O57+O58+O60))+((500*(O51+O49+O48))))))+(1000*2)</f>
        <v>5750</v>
      </c>
      <c r="P112" s="61">
        <f>(2500*P39)+(2000*P40)+((1500*(P42+P44+P45))+((1250*(P46+P47))+((1250*(P54+P53+P55+P56+P57+P58+P60))+((500*(P52))))))+(1000*1)</f>
        <v>5500</v>
      </c>
      <c r="Q112" s="61">
        <f>(2500*Q39)+(2000*Q40)+((1500*(Q42+Q44+Q45))+((1250*(Q46+Q47))+((1250*(Q54+Q53+Q55+Q56+Q57+Q58+Q60))+((500*(Q51+Q49+Q48))))))</f>
        <v>0</v>
      </c>
      <c r="R112" s="75">
        <f t="shared" si="140"/>
        <v>55000</v>
      </c>
      <c r="T112" s="61">
        <f>(2500*T39)+(2000*T40)+((1500*(T42+T44+T45))+((1250*(T46+T47))+((1250*(T54+T53+T55+T56+T57+T58+T60))+((500*(T51+T49+T48))))))+(1000*5)</f>
        <v>9750</v>
      </c>
      <c r="U112" s="61">
        <f>(2500*U39)+(2000*U40)+((1500*(U42+U44+U45))+((1250*(U46+U47))+((1250*(U54+U53+U55+U56+U57+U58+U60))+((500*(U51+U49+U48))))))+(1000*2)</f>
        <v>2000</v>
      </c>
      <c r="V112" s="61">
        <f>(2500*V39)+(2000*V40)+((1500*(V42+V44+V45))+((1250*(V46+V47))+((1250*(V54+V53+V55+V56+V57+V58+V60))+((500*(V52))))))+(1000*1)</f>
        <v>1000</v>
      </c>
      <c r="W112" s="61">
        <f>(2500*W39)+(2000*W40)+((1500*(W42+W44+W45))+((1250*(W46+W47))+((1250*(W54+W53+W55+W56+W57+W58+W60))+((500*(W51+W49+W48))))))</f>
        <v>0</v>
      </c>
      <c r="X112" s="75">
        <f t="shared" si="142"/>
        <v>12750</v>
      </c>
      <c r="Y112" s="194"/>
      <c r="Z112" s="61">
        <f>((2500*Z39)+(2000*Z40)+((1500*(Z42+Z44+Z45))+((1250*(Z46+Z47))+((1250*(Z54+Z53+Z55+Z56+Z57+Z58+Z60))+((500*(Z51+Z49+Z48))))))+(1000*6))</f>
        <v>25500</v>
      </c>
      <c r="AA112" s="61">
        <f>(2500*AA39)+(2000*AA40)+((1500*(AA42+AA44+AA45))+((1250*(AA46+AA47))+((1250*(AA54+AA53+AA55+AA56+AA57+AA58+AA60))+((500*(AA51+AA49+AA48))))))</f>
        <v>0</v>
      </c>
      <c r="AB112" s="61">
        <f t="shared" ref="AB112:AC112" si="151">(2500*AB39)+(2000*AB40)+((1500*(AB42+AB44+AB45))+((1250*(AB46+AB47))+((1250*(AB54+AB53+AB55+AB56+AB57+AB58+AB60))+((500*(AB51+AB49+AB48))))))</f>
        <v>0</v>
      </c>
      <c r="AC112" s="61">
        <f t="shared" si="151"/>
        <v>0</v>
      </c>
      <c r="AD112" s="75">
        <f t="shared" si="144"/>
        <v>25500</v>
      </c>
      <c r="AE112" s="194"/>
      <c r="AF112" s="61">
        <f>(2500*AF39)+(2000*AF40)+((1500*(AF42+AF44+AF45))+((1250*(AF46+AF47))+((1250*(AF54+AF53+AF55+AF56+AF57+AF58+AF60))+((500*(AF51+AF49+AF48))))))+(1000*5)</f>
        <v>24500</v>
      </c>
      <c r="AG112" s="61">
        <f>(2500*AG39)+(2000*AG40)+((1500*(AG42+AG44+AG45))+((1250*(AG46+AG47))+((1250*(AG54+AG53+AG55+AG56+AG57+AG58+AG60))+((500*(AG51+AG49+AG48))))))+(1000*2)</f>
        <v>2000</v>
      </c>
      <c r="AH112" s="61">
        <f>(2500*AH39)+(2000*AH40)+((1500*(AH42+AH44+AH45))+((1250*(AH46+AH47))+((1250*(AH54+AH53+AH55+AH56+AH57+AH58+AH60))+((500*(AH52))))))+(1000*1)</f>
        <v>1000</v>
      </c>
      <c r="AI112" s="61">
        <f>(2500*AI39)+(2000*AI40)+((1500*(AI42+AI44+AI45))+((1250*(AI46+AI47))+((1250*(AI54+AI53+AI55+AI56+AI57+AI58+AI60))+((500*(AI51+AI49+AI48))))))</f>
        <v>0</v>
      </c>
      <c r="AJ112" s="75">
        <f t="shared" si="146"/>
        <v>27500</v>
      </c>
      <c r="AL112" s="61">
        <f>(2500*AL39)+(2000*AL40)+((1500*(AL42+AL44+AL45))+((1250*(AL46+AL47))+((1250*(AL54+AL53+AL55+AL56+AL57+AL58+AL60))+((500*(AL51+AL49+AL48))))))</f>
        <v>2750</v>
      </c>
      <c r="AM112" s="61">
        <f>(2500*AM39)+(2000*AM40)+((1500*(AM42+AM44+AM45))+((1250*(AM46+AM47))+((1250*(AM54+AM53+AM55+AM56+AM57+AM58+AM60))+((500*(AM51+AM49+AM48))))))</f>
        <v>4500</v>
      </c>
      <c r="AN112" s="61">
        <f>(2500*AN39)+(2000*AN40)+((1500*(AN42+AN44+AN45))+((1250*(AN46+AN47))+((1250*(AN54+AN53+AN55+AN56+AN57+AN58+AN60))+((500*(AN52))))))+(1000*1)</f>
        <v>1500</v>
      </c>
      <c r="AO112" s="61">
        <f>(2500*AO39)+(2000*AO40)+((1500*(AO42+AO44+AO45))+((1250*(AO46+AO47))+((1250*(AO54+AO53+AO55+AO56+AO57+AO58+AO60))+((500*(AO51+AO49+AO48))))))</f>
        <v>3000</v>
      </c>
      <c r="AP112" s="75">
        <f t="shared" si="148"/>
        <v>11750</v>
      </c>
      <c r="AR112" s="60">
        <f t="shared" si="149"/>
        <v>162875</v>
      </c>
      <c r="AS112" s="60">
        <f t="shared" si="134"/>
        <v>24500</v>
      </c>
      <c r="AT112" s="60">
        <f t="shared" si="134"/>
        <v>14000</v>
      </c>
      <c r="AU112" s="60">
        <f t="shared" si="134"/>
        <v>3000</v>
      </c>
      <c r="AV112" s="75">
        <f t="shared" si="150"/>
        <v>204375</v>
      </c>
    </row>
    <row r="113" spans="1:48" x14ac:dyDescent="0.25">
      <c r="A113" s="21" t="s">
        <v>92</v>
      </c>
      <c r="B113" s="61">
        <f>250*B64</f>
        <v>5375</v>
      </c>
      <c r="C113" s="61">
        <f t="shared" ref="C113:E113" si="152">250*C64</f>
        <v>625</v>
      </c>
      <c r="D113" s="61">
        <f t="shared" si="152"/>
        <v>750</v>
      </c>
      <c r="E113" s="61">
        <f t="shared" si="152"/>
        <v>0</v>
      </c>
      <c r="F113" s="75">
        <f t="shared" si="136"/>
        <v>6750</v>
      </c>
      <c r="H113" s="61">
        <f>250*H64</f>
        <v>4750</v>
      </c>
      <c r="I113" s="61">
        <f t="shared" ref="I113:K113" si="153">250*I64</f>
        <v>625</v>
      </c>
      <c r="J113" s="61">
        <f t="shared" si="153"/>
        <v>750</v>
      </c>
      <c r="K113" s="61">
        <f t="shared" si="153"/>
        <v>0</v>
      </c>
      <c r="L113" s="75">
        <f t="shared" si="138"/>
        <v>6125</v>
      </c>
      <c r="N113" s="61">
        <f>250*N64</f>
        <v>10250</v>
      </c>
      <c r="O113" s="61">
        <f t="shared" ref="O113:Q113" si="154">250*O64</f>
        <v>750</v>
      </c>
      <c r="P113" s="61">
        <f t="shared" si="154"/>
        <v>2250</v>
      </c>
      <c r="Q113" s="61">
        <f t="shared" si="154"/>
        <v>0</v>
      </c>
      <c r="R113" s="75">
        <f t="shared" si="140"/>
        <v>13250</v>
      </c>
      <c r="T113" s="61">
        <f>250*T64</f>
        <v>1000</v>
      </c>
      <c r="U113" s="61">
        <f t="shared" ref="U113:W113" si="155">250*U64</f>
        <v>0</v>
      </c>
      <c r="V113" s="61">
        <f t="shared" si="155"/>
        <v>0</v>
      </c>
      <c r="W113" s="61">
        <f t="shared" si="155"/>
        <v>0</v>
      </c>
      <c r="X113" s="75">
        <f t="shared" si="142"/>
        <v>1000</v>
      </c>
      <c r="Y113" s="194"/>
      <c r="Z113" s="61">
        <f>250*Z64</f>
        <v>4250</v>
      </c>
      <c r="AA113" s="61">
        <f t="shared" ref="AA113:AC113" si="156">250*AA64</f>
        <v>0</v>
      </c>
      <c r="AB113" s="61">
        <f t="shared" si="156"/>
        <v>500</v>
      </c>
      <c r="AC113" s="61">
        <f t="shared" si="156"/>
        <v>0</v>
      </c>
      <c r="AD113" s="75">
        <f t="shared" si="144"/>
        <v>4750</v>
      </c>
      <c r="AE113" s="194"/>
      <c r="AF113" s="61">
        <f>250*AF64</f>
        <v>3750</v>
      </c>
      <c r="AG113" s="61">
        <f t="shared" ref="AG113:AI113" si="157">250*AG64</f>
        <v>0</v>
      </c>
      <c r="AH113" s="61">
        <f t="shared" si="157"/>
        <v>0</v>
      </c>
      <c r="AI113" s="61">
        <f t="shared" si="157"/>
        <v>0</v>
      </c>
      <c r="AJ113" s="75">
        <f t="shared" si="146"/>
        <v>3750</v>
      </c>
      <c r="AL113" s="61">
        <f>250*AL64</f>
        <v>500</v>
      </c>
      <c r="AM113" s="61">
        <f t="shared" ref="AM113:AO113" si="158">250*AM64</f>
        <v>750</v>
      </c>
      <c r="AN113" s="61">
        <f t="shared" si="158"/>
        <v>250</v>
      </c>
      <c r="AO113" s="61">
        <f t="shared" si="158"/>
        <v>500</v>
      </c>
      <c r="AP113" s="75">
        <f t="shared" si="148"/>
        <v>2000</v>
      </c>
      <c r="AR113" s="60">
        <f t="shared" si="149"/>
        <v>29875</v>
      </c>
      <c r="AS113" s="60">
        <f t="shared" si="134"/>
        <v>2750</v>
      </c>
      <c r="AT113" s="60">
        <f t="shared" si="134"/>
        <v>4500</v>
      </c>
      <c r="AU113" s="60">
        <f t="shared" si="134"/>
        <v>500</v>
      </c>
      <c r="AV113" s="75">
        <f t="shared" si="150"/>
        <v>37625</v>
      </c>
    </row>
    <row r="114" spans="1:48" x14ac:dyDescent="0.25">
      <c r="A114" s="21" t="s">
        <v>93</v>
      </c>
      <c r="B114" s="63"/>
      <c r="C114" s="63"/>
      <c r="D114" s="63"/>
      <c r="E114" s="63"/>
      <c r="F114" s="75">
        <f t="shared" si="136"/>
        <v>0</v>
      </c>
      <c r="H114" s="63"/>
      <c r="I114" s="63"/>
      <c r="J114" s="63"/>
      <c r="K114" s="63"/>
      <c r="L114" s="75">
        <f t="shared" si="138"/>
        <v>0</v>
      </c>
      <c r="N114" s="63"/>
      <c r="O114" s="63"/>
      <c r="P114" s="63"/>
      <c r="Q114" s="63"/>
      <c r="R114" s="75">
        <f t="shared" si="140"/>
        <v>0</v>
      </c>
      <c r="T114" s="63"/>
      <c r="U114" s="63"/>
      <c r="V114" s="63"/>
      <c r="W114" s="63"/>
      <c r="X114" s="75">
        <f t="shared" si="142"/>
        <v>0</v>
      </c>
      <c r="Y114" s="194"/>
      <c r="Z114" s="63"/>
      <c r="AA114" s="63"/>
      <c r="AB114" s="63"/>
      <c r="AC114" s="63"/>
      <c r="AD114" s="75">
        <f t="shared" si="144"/>
        <v>0</v>
      </c>
      <c r="AE114" s="194"/>
      <c r="AF114" s="63"/>
      <c r="AG114" s="63"/>
      <c r="AH114" s="63"/>
      <c r="AI114" s="63"/>
      <c r="AJ114" s="75">
        <f t="shared" si="146"/>
        <v>0</v>
      </c>
      <c r="AL114" s="61">
        <v>0</v>
      </c>
      <c r="AM114" s="61"/>
      <c r="AN114" s="61"/>
      <c r="AO114" s="61"/>
      <c r="AP114" s="75">
        <f t="shared" si="148"/>
        <v>0</v>
      </c>
      <c r="AR114" s="60">
        <f t="shared" si="149"/>
        <v>0</v>
      </c>
      <c r="AS114" s="60">
        <f t="shared" si="134"/>
        <v>0</v>
      </c>
      <c r="AT114" s="60">
        <f t="shared" si="134"/>
        <v>0</v>
      </c>
      <c r="AU114" s="60">
        <f t="shared" si="134"/>
        <v>0</v>
      </c>
      <c r="AV114" s="75">
        <f t="shared" si="150"/>
        <v>0</v>
      </c>
    </row>
    <row r="115" spans="1:48" x14ac:dyDescent="0.25">
      <c r="A115" s="22" t="s">
        <v>94</v>
      </c>
      <c r="B115" s="64">
        <v>1500</v>
      </c>
      <c r="C115" s="64"/>
      <c r="D115" s="64"/>
      <c r="E115" s="64"/>
      <c r="F115" s="75">
        <f t="shared" si="136"/>
        <v>1500</v>
      </c>
      <c r="H115" s="64">
        <v>1500</v>
      </c>
      <c r="I115" s="64"/>
      <c r="J115" s="64"/>
      <c r="K115" s="64"/>
      <c r="L115" s="75">
        <f t="shared" si="138"/>
        <v>1500</v>
      </c>
      <c r="N115" s="64">
        <v>5000</v>
      </c>
      <c r="O115" s="64"/>
      <c r="P115" s="64"/>
      <c r="Q115" s="64"/>
      <c r="R115" s="75">
        <f t="shared" si="140"/>
        <v>5000</v>
      </c>
      <c r="T115" s="64">
        <v>2500</v>
      </c>
      <c r="U115" s="64"/>
      <c r="V115" s="64"/>
      <c r="W115" s="64"/>
      <c r="X115" s="75">
        <f t="shared" si="142"/>
        <v>2500</v>
      </c>
      <c r="Y115" s="194"/>
      <c r="Z115" s="64">
        <v>2500</v>
      </c>
      <c r="AA115" s="64"/>
      <c r="AB115" s="64"/>
      <c r="AC115" s="64"/>
      <c r="AD115" s="75">
        <f t="shared" si="144"/>
        <v>2500</v>
      </c>
      <c r="AE115" s="194"/>
      <c r="AF115" s="64">
        <v>2000</v>
      </c>
      <c r="AG115" s="64"/>
      <c r="AH115" s="64"/>
      <c r="AI115" s="64"/>
      <c r="AJ115" s="75">
        <f t="shared" si="146"/>
        <v>2000</v>
      </c>
      <c r="AL115" s="91"/>
      <c r="AM115" s="91"/>
      <c r="AN115" s="91"/>
      <c r="AO115" s="91"/>
      <c r="AP115" s="75">
        <f t="shared" si="148"/>
        <v>0</v>
      </c>
      <c r="AR115" s="60">
        <f t="shared" si="149"/>
        <v>15000</v>
      </c>
      <c r="AS115" s="60">
        <f t="shared" si="134"/>
        <v>0</v>
      </c>
      <c r="AT115" s="60">
        <f t="shared" si="134"/>
        <v>0</v>
      </c>
      <c r="AU115" s="60">
        <f t="shared" si="134"/>
        <v>0</v>
      </c>
      <c r="AV115" s="75">
        <f t="shared" si="150"/>
        <v>15000</v>
      </c>
    </row>
    <row r="116" spans="1:48" x14ac:dyDescent="0.25">
      <c r="A116" s="27"/>
      <c r="B116" s="76">
        <f>SUM(B110:B115)</f>
        <v>856606.43196219217</v>
      </c>
      <c r="C116" s="76">
        <f t="shared" ref="C116:F116" si="159">SUM(C110:C115)</f>
        <v>129250.95190234936</v>
      </c>
      <c r="D116" s="76">
        <f t="shared" si="159"/>
        <v>83644</v>
      </c>
      <c r="E116" s="76">
        <f t="shared" si="159"/>
        <v>0</v>
      </c>
      <c r="F116" s="76">
        <f t="shared" si="159"/>
        <v>1069501.3838645415</v>
      </c>
      <c r="H116" s="76">
        <f>SUM(H110:H115)</f>
        <v>889869.78967972239</v>
      </c>
      <c r="I116" s="76">
        <f t="shared" ref="I116:L116" si="160">SUM(I110:I115)</f>
        <v>129233.45190234936</v>
      </c>
      <c r="J116" s="76">
        <f t="shared" si="160"/>
        <v>83486.5</v>
      </c>
      <c r="K116" s="76">
        <f t="shared" si="160"/>
        <v>0</v>
      </c>
      <c r="L116" s="76">
        <f t="shared" si="160"/>
        <v>1102589.7415820719</v>
      </c>
      <c r="N116" s="76">
        <f>SUM(N110:N115)</f>
        <v>1636916.3038979028</v>
      </c>
      <c r="O116" s="76">
        <f t="shared" ref="O116:R116" si="161">SUM(O110:O115)</f>
        <v>156024.43833170435</v>
      </c>
      <c r="P116" s="76">
        <f t="shared" si="161"/>
        <v>243577</v>
      </c>
      <c r="Q116" s="76">
        <f t="shared" si="161"/>
        <v>0</v>
      </c>
      <c r="R116" s="76">
        <f t="shared" si="161"/>
        <v>2036517.742229607</v>
      </c>
      <c r="T116" s="76">
        <f>SUM(T110:T115)</f>
        <v>172390.95413136875</v>
      </c>
      <c r="U116" s="76">
        <f t="shared" ref="U116:X116" si="162">SUM(U110:U115)</f>
        <v>2240</v>
      </c>
      <c r="V116" s="76">
        <f t="shared" si="162"/>
        <v>6020.3125</v>
      </c>
      <c r="W116" s="76">
        <f t="shared" si="162"/>
        <v>0</v>
      </c>
      <c r="X116" s="76">
        <f t="shared" si="162"/>
        <v>180651.26663136875</v>
      </c>
      <c r="Y116" s="199"/>
      <c r="Z116" s="76">
        <f>SUM(Z110:Z115)</f>
        <v>725666.80889687501</v>
      </c>
      <c r="AA116" s="76">
        <f t="shared" ref="AA116:AD116" si="163">SUM(AA110:AA115)</f>
        <v>490</v>
      </c>
      <c r="AB116" s="76">
        <f t="shared" si="163"/>
        <v>52066</v>
      </c>
      <c r="AC116" s="76">
        <f t="shared" si="163"/>
        <v>0</v>
      </c>
      <c r="AD116" s="76">
        <f t="shared" si="163"/>
        <v>778222.80889687501</v>
      </c>
      <c r="AE116" s="199"/>
      <c r="AF116" s="76">
        <f>SUM(AF110:AF115)</f>
        <v>663590.31906250003</v>
      </c>
      <c r="AG116" s="76">
        <f t="shared" ref="AG116:AJ116" si="164">SUM(AG110:AG115)</f>
        <v>2385</v>
      </c>
      <c r="AH116" s="76">
        <f t="shared" si="164"/>
        <v>27941.25</v>
      </c>
      <c r="AI116" s="76">
        <f t="shared" si="164"/>
        <v>0</v>
      </c>
      <c r="AJ116" s="76">
        <f t="shared" si="164"/>
        <v>693916.56906250003</v>
      </c>
      <c r="AL116" s="76">
        <f>SUM(AL110:AL115)</f>
        <v>104314.07540756591</v>
      </c>
      <c r="AM116" s="76">
        <f t="shared" ref="AM116:AP116" si="165">SUM(AM110:AM115)</f>
        <v>187906.21899318538</v>
      </c>
      <c r="AN116" s="76">
        <f t="shared" si="165"/>
        <v>42716.214125521008</v>
      </c>
      <c r="AO116" s="76">
        <f t="shared" si="165"/>
        <v>120000</v>
      </c>
      <c r="AP116" s="76">
        <f t="shared" si="165"/>
        <v>454936.50852627226</v>
      </c>
      <c r="AR116" s="76">
        <f>SUM(AR110:AR115)</f>
        <v>5049354.6830381276</v>
      </c>
      <c r="AS116" s="76">
        <f t="shared" ref="AS116:AV116" si="166">SUM(AS110:AS115)</f>
        <v>607530.06112958852</v>
      </c>
      <c r="AT116" s="76">
        <f t="shared" si="166"/>
        <v>539451.27662552102</v>
      </c>
      <c r="AU116" s="76">
        <f t="shared" si="166"/>
        <v>120000</v>
      </c>
      <c r="AV116" s="76">
        <f t="shared" si="166"/>
        <v>6316336.0207932368</v>
      </c>
    </row>
    <row r="117" spans="1:48" x14ac:dyDescent="0.25">
      <c r="B117" s="77"/>
      <c r="C117" s="77"/>
      <c r="D117" s="77"/>
      <c r="E117" s="77"/>
      <c r="F117" s="77"/>
      <c r="H117" s="77"/>
      <c r="I117" s="77"/>
      <c r="J117" s="77"/>
      <c r="K117" s="77"/>
      <c r="L117" s="77"/>
      <c r="N117" s="77"/>
      <c r="O117" s="77"/>
      <c r="P117" s="77"/>
      <c r="Q117" s="77"/>
      <c r="R117" s="77"/>
      <c r="T117" s="77"/>
      <c r="U117" s="77"/>
      <c r="V117" s="77"/>
      <c r="W117" s="77"/>
      <c r="X117" s="77"/>
      <c r="Y117" s="79"/>
      <c r="Z117" s="77"/>
      <c r="AA117" s="77"/>
      <c r="AB117" s="77"/>
      <c r="AC117" s="77"/>
      <c r="AD117" s="77"/>
      <c r="AE117" s="79"/>
      <c r="AF117" s="77"/>
      <c r="AG117" s="77"/>
      <c r="AH117" s="77"/>
      <c r="AI117" s="77"/>
      <c r="AJ117" s="77"/>
      <c r="AL117" s="57"/>
      <c r="AM117" s="57"/>
      <c r="AN117" s="57"/>
      <c r="AO117" s="57"/>
      <c r="AP117" s="77"/>
      <c r="AR117" s="57"/>
      <c r="AS117" s="57"/>
      <c r="AT117" s="57"/>
      <c r="AU117" s="57"/>
      <c r="AV117" s="77"/>
    </row>
    <row r="118" spans="1:48" x14ac:dyDescent="0.25">
      <c r="A118" s="28"/>
      <c r="B118" s="78" t="s">
        <v>157</v>
      </c>
      <c r="C118" s="78" t="s">
        <v>158</v>
      </c>
      <c r="D118" s="78" t="s">
        <v>159</v>
      </c>
      <c r="E118" s="78" t="str">
        <f>E91</f>
        <v>Other</v>
      </c>
      <c r="F118" s="78" t="str">
        <f>F91</f>
        <v>FY31- Mtn</v>
      </c>
      <c r="H118" s="78" t="s">
        <v>157</v>
      </c>
      <c r="I118" s="78" t="s">
        <v>158</v>
      </c>
      <c r="J118" s="78" t="s">
        <v>159</v>
      </c>
      <c r="K118" s="78" t="str">
        <f>K91</f>
        <v>Other</v>
      </c>
      <c r="L118" s="78" t="str">
        <f>L91</f>
        <v>FY31- Bon</v>
      </c>
      <c r="N118" s="78" t="s">
        <v>157</v>
      </c>
      <c r="O118" s="78" t="s">
        <v>158</v>
      </c>
      <c r="P118" s="78" t="s">
        <v>159</v>
      </c>
      <c r="Q118" s="78" t="str">
        <f>Q91</f>
        <v>Other</v>
      </c>
      <c r="R118" s="78" t="str">
        <f>R91</f>
        <v>FY31- East</v>
      </c>
      <c r="T118" s="78" t="s">
        <v>157</v>
      </c>
      <c r="U118" s="78" t="s">
        <v>158</v>
      </c>
      <c r="V118" s="78" t="s">
        <v>159</v>
      </c>
      <c r="W118" s="78" t="str">
        <f>W91</f>
        <v>Other</v>
      </c>
      <c r="X118" s="78" t="str">
        <f>X91</f>
        <v>FY31- Cactus</v>
      </c>
      <c r="Y118" s="201"/>
      <c r="Z118" s="78" t="s">
        <v>157</v>
      </c>
      <c r="AA118" s="78" t="s">
        <v>158</v>
      </c>
      <c r="AB118" s="78" t="s">
        <v>159</v>
      </c>
      <c r="AC118" s="78" t="str">
        <f>AC91</f>
        <v>Other</v>
      </c>
      <c r="AD118" s="78" t="str">
        <f>AD91</f>
        <v>FY31- Sahara</v>
      </c>
      <c r="AE118" s="201"/>
      <c r="AF118" s="78" t="s">
        <v>157</v>
      </c>
      <c r="AG118" s="78" t="s">
        <v>158</v>
      </c>
      <c r="AH118" s="78" t="s">
        <v>159</v>
      </c>
      <c r="AI118" s="78" t="str">
        <f>AI91</f>
        <v>Other</v>
      </c>
      <c r="AJ118" s="78" t="str">
        <f>AJ91</f>
        <v>FY31- VV</v>
      </c>
      <c r="AL118" s="78" t="s">
        <v>157</v>
      </c>
      <c r="AM118" s="78" t="s">
        <v>158</v>
      </c>
      <c r="AN118" s="78" t="s">
        <v>159</v>
      </c>
      <c r="AO118" s="78" t="str">
        <f>AO91</f>
        <v>Grant</v>
      </c>
      <c r="AP118" s="78" t="str">
        <f>AP91</f>
        <v>FY31 - Central</v>
      </c>
      <c r="AR118" s="78" t="s">
        <v>157</v>
      </c>
      <c r="AS118" s="78" t="s">
        <v>158</v>
      </c>
      <c r="AT118" s="78" t="s">
        <v>159</v>
      </c>
      <c r="AU118" s="78" t="str">
        <f>AU91</f>
        <v>Other</v>
      </c>
      <c r="AV118" s="78" t="str">
        <f>AV91</f>
        <v>FY31- Sys</v>
      </c>
    </row>
    <row r="119" spans="1:48" x14ac:dyDescent="0.25">
      <c r="A119" s="20" t="s">
        <v>95</v>
      </c>
      <c r="B119" s="75">
        <f>(77250+77250)*1.01*1.01*1.01*1.01*1.01</f>
        <v>162381.05274045002</v>
      </c>
      <c r="C119" s="75"/>
      <c r="D119" s="75"/>
      <c r="E119" s="75"/>
      <c r="F119" s="75">
        <f>SUM(B119:E119)</f>
        <v>162381.05274045002</v>
      </c>
      <c r="H119" s="75">
        <f>(75000+26000)*1.01*1.01*1.01*1.01*1.01</f>
        <v>106152.01506010001</v>
      </c>
      <c r="I119" s="75"/>
      <c r="J119" s="75"/>
      <c r="K119" s="75"/>
      <c r="L119" s="75">
        <f>SUM(H119:K119)</f>
        <v>106152.01506010001</v>
      </c>
      <c r="N119" s="75">
        <f>(80350+77000+87850+72100)*1.01*1.01*1.01*1.01*1.01</f>
        <v>333485.48889673001</v>
      </c>
      <c r="O119" s="75"/>
      <c r="P119" s="75"/>
      <c r="Q119" s="75"/>
      <c r="R119" s="75">
        <f>SUM(N119:Q119)</f>
        <v>333485.48889673001</v>
      </c>
      <c r="T119" s="75">
        <f>80000*1.01*1.01*1.01*1.01*1.01</f>
        <v>84080.804008000006</v>
      </c>
      <c r="U119" s="75"/>
      <c r="V119" s="75"/>
      <c r="W119" s="75"/>
      <c r="X119" s="75">
        <f>SUM(T119:W119)</f>
        <v>84080.804008000006</v>
      </c>
      <c r="Y119" s="194"/>
      <c r="Z119" s="75">
        <f>(80000*Z43)*1.01*1.01*1.01*1.01</f>
        <v>166496.6416</v>
      </c>
      <c r="AA119" s="75"/>
      <c r="AB119" s="75"/>
      <c r="AC119" s="75"/>
      <c r="AD119" s="75">
        <f>SUM(Z119:AC119)</f>
        <v>166496.6416</v>
      </c>
      <c r="AE119" s="194"/>
      <c r="AF119" s="75">
        <f>(82500*AF43)*1.01</f>
        <v>83325</v>
      </c>
      <c r="AG119" s="75"/>
      <c r="AH119" s="75"/>
      <c r="AI119" s="75"/>
      <c r="AJ119" s="75">
        <f>SUM(AF119:AI119)</f>
        <v>83325</v>
      </c>
      <c r="AL119" s="75"/>
      <c r="AM119" s="75"/>
      <c r="AN119" s="75"/>
      <c r="AO119" s="75">
        <v>300000</v>
      </c>
      <c r="AP119" s="75">
        <f>SUM(AL119:AO119)</f>
        <v>300000</v>
      </c>
      <c r="AR119" s="75">
        <f>B119+H119+N119+T119+AL119+AF119+Z119</f>
        <v>935921.00230527995</v>
      </c>
      <c r="AS119" s="75">
        <f t="shared" ref="AS119:AU124" si="167">C119+I119+O119+U119+AM119+AG119+AA119</f>
        <v>0</v>
      </c>
      <c r="AT119" s="75">
        <f t="shared" si="167"/>
        <v>0</v>
      </c>
      <c r="AU119" s="75">
        <f t="shared" si="167"/>
        <v>300000</v>
      </c>
      <c r="AV119" s="75">
        <f>SUM(AR119:AU119)</f>
        <v>1235921.00230528</v>
      </c>
    </row>
    <row r="120" spans="1:48" x14ac:dyDescent="0.25">
      <c r="A120" s="21" t="s">
        <v>36</v>
      </c>
      <c r="B120" s="63">
        <f>85000*1.01*1.01*1.01*1.01*1.01</f>
        <v>89335.85425850001</v>
      </c>
      <c r="C120" s="63"/>
      <c r="D120" s="63"/>
      <c r="E120" s="63"/>
      <c r="F120" s="75">
        <f t="shared" ref="F120:F124" si="168">SUM(B120:E120)</f>
        <v>89335.85425850001</v>
      </c>
      <c r="H120" s="63">
        <f>77250*1.01*1.01*1.01*1.01*1.01</f>
        <v>81190.526370225009</v>
      </c>
      <c r="I120" s="63"/>
      <c r="J120" s="63"/>
      <c r="K120" s="63"/>
      <c r="L120" s="75">
        <f t="shared" ref="L120:L124" si="169">SUM(H120:K120)</f>
        <v>81190.526370225009</v>
      </c>
      <c r="N120" s="63">
        <f>77250*1.01*1.01*1.01*1.01*1.01</f>
        <v>81190.526370225009</v>
      </c>
      <c r="O120" s="63"/>
      <c r="P120" s="63"/>
      <c r="Q120" s="63"/>
      <c r="R120" s="75">
        <f t="shared" ref="R120:R124" si="170">SUM(N120:Q120)</f>
        <v>81190.526370225009</v>
      </c>
      <c r="T120" s="63"/>
      <c r="U120" s="63"/>
      <c r="V120" s="63"/>
      <c r="W120" s="63"/>
      <c r="X120" s="75">
        <f t="shared" ref="X120:X124" si="171">SUM(T120:W120)</f>
        <v>0</v>
      </c>
      <c r="Y120" s="194"/>
      <c r="Z120" s="63"/>
      <c r="AA120" s="63"/>
      <c r="AB120" s="63"/>
      <c r="AC120" s="63"/>
      <c r="AD120" s="75">
        <f t="shared" ref="AD120:AD124" si="172">SUM(Z120:AC120)</f>
        <v>0</v>
      </c>
      <c r="AE120" s="194"/>
      <c r="AF120" s="63">
        <f>82000*1.01*1.01*1.01</f>
        <v>84484.682000000001</v>
      </c>
      <c r="AG120" s="63"/>
      <c r="AH120" s="63"/>
      <c r="AI120" s="63"/>
      <c r="AJ120" s="75">
        <f t="shared" ref="AJ120:AJ124" si="173">SUM(AF120:AI120)</f>
        <v>84484.682000000001</v>
      </c>
      <c r="AL120" s="63"/>
      <c r="AM120" s="63"/>
      <c r="AN120" s="63"/>
      <c r="AO120" s="63">
        <v>185000</v>
      </c>
      <c r="AP120" s="75">
        <f t="shared" ref="AP120:AP124" si="174">SUM(AL120:AO120)</f>
        <v>185000</v>
      </c>
      <c r="AR120" s="75">
        <f t="shared" ref="AR120:AR124" si="175">B120+H120+N120+T120+AL120+AF120+Z120</f>
        <v>336201.58899895003</v>
      </c>
      <c r="AS120" s="75">
        <f t="shared" si="167"/>
        <v>0</v>
      </c>
      <c r="AT120" s="75">
        <f t="shared" si="167"/>
        <v>0</v>
      </c>
      <c r="AU120" s="75">
        <f t="shared" si="167"/>
        <v>185000</v>
      </c>
      <c r="AV120" s="75">
        <f t="shared" ref="AV120:AV124" si="176">SUM(AR120:AU120)</f>
        <v>521201.58899895003</v>
      </c>
    </row>
    <row r="121" spans="1:48" x14ac:dyDescent="0.25">
      <c r="A121" s="21" t="s">
        <v>96</v>
      </c>
      <c r="B121" s="63">
        <f>71000*B36</f>
        <v>3195000</v>
      </c>
      <c r="C121" s="63"/>
      <c r="D121" s="63"/>
      <c r="E121" s="63"/>
      <c r="F121" s="75">
        <f t="shared" si="168"/>
        <v>3195000</v>
      </c>
      <c r="H121" s="63">
        <f>69525*H36</f>
        <v>3128625</v>
      </c>
      <c r="I121" s="63"/>
      <c r="J121" s="63"/>
      <c r="K121" s="63"/>
      <c r="L121" s="75">
        <f t="shared" si="169"/>
        <v>3128625</v>
      </c>
      <c r="N121" s="63">
        <f>69500*N36+8000</f>
        <v>7097000</v>
      </c>
      <c r="O121" s="63"/>
      <c r="P121" s="63"/>
      <c r="Q121" s="63"/>
      <c r="R121" s="75">
        <f t="shared" si="170"/>
        <v>7097000</v>
      </c>
      <c r="T121" s="63">
        <f>61125*T36</f>
        <v>1405875</v>
      </c>
      <c r="U121" s="63"/>
      <c r="V121" s="63"/>
      <c r="W121" s="63"/>
      <c r="X121" s="75">
        <f t="shared" si="171"/>
        <v>1405875</v>
      </c>
      <c r="Y121" s="194"/>
      <c r="Z121" s="63">
        <f>59800*Z36</f>
        <v>3289000</v>
      </c>
      <c r="AA121" s="63"/>
      <c r="AB121" s="63"/>
      <c r="AC121" s="63"/>
      <c r="AD121" s="75">
        <f t="shared" si="172"/>
        <v>3289000</v>
      </c>
      <c r="AE121" s="194"/>
      <c r="AF121" s="63">
        <f>58250*AF36</f>
        <v>2446500</v>
      </c>
      <c r="AG121" s="63"/>
      <c r="AH121" s="63"/>
      <c r="AI121" s="63"/>
      <c r="AJ121" s="75">
        <f t="shared" si="173"/>
        <v>2446500</v>
      </c>
      <c r="AL121" s="63"/>
      <c r="AM121" s="63"/>
      <c r="AN121" s="63"/>
      <c r="AO121" s="63"/>
      <c r="AP121" s="75">
        <f t="shared" si="174"/>
        <v>0</v>
      </c>
      <c r="AR121" s="75">
        <f t="shared" si="175"/>
        <v>20562000</v>
      </c>
      <c r="AS121" s="75">
        <f t="shared" si="167"/>
        <v>0</v>
      </c>
      <c r="AT121" s="75">
        <f t="shared" si="167"/>
        <v>0</v>
      </c>
      <c r="AU121" s="75">
        <f t="shared" si="167"/>
        <v>0</v>
      </c>
      <c r="AV121" s="75">
        <f t="shared" si="176"/>
        <v>20562000</v>
      </c>
    </row>
    <row r="122" spans="1:48" x14ac:dyDescent="0.25">
      <c r="A122" s="21" t="s">
        <v>24</v>
      </c>
      <c r="B122" s="63"/>
      <c r="C122" s="63">
        <f>71000*C28</f>
        <v>355000</v>
      </c>
      <c r="D122" s="63"/>
      <c r="E122" s="63"/>
      <c r="F122" s="75">
        <f t="shared" si="168"/>
        <v>355000</v>
      </c>
      <c r="H122" s="63"/>
      <c r="I122" s="63">
        <f>69525*I28</f>
        <v>278100</v>
      </c>
      <c r="J122" s="63"/>
      <c r="K122" s="63"/>
      <c r="L122" s="75">
        <f t="shared" si="169"/>
        <v>278100</v>
      </c>
      <c r="N122" s="63"/>
      <c r="O122" s="63">
        <f>69500*O28</f>
        <v>973000</v>
      </c>
      <c r="P122" s="63"/>
      <c r="Q122" s="63"/>
      <c r="R122" s="75">
        <f t="shared" si="170"/>
        <v>973000</v>
      </c>
      <c r="T122" s="63"/>
      <c r="U122" s="63">
        <f>63650*U28</f>
        <v>190950</v>
      </c>
      <c r="V122" s="63"/>
      <c r="W122" s="63"/>
      <c r="X122" s="75">
        <f t="shared" si="171"/>
        <v>190950</v>
      </c>
      <c r="Y122" s="194"/>
      <c r="Z122" s="63"/>
      <c r="AA122" s="63">
        <f>62800*AA28</f>
        <v>439600</v>
      </c>
      <c r="AB122" s="63"/>
      <c r="AC122" s="63"/>
      <c r="AD122" s="75">
        <f t="shared" si="172"/>
        <v>439600</v>
      </c>
      <c r="AE122" s="194"/>
      <c r="AF122" s="63"/>
      <c r="AG122" s="63">
        <f>62150*AG28</f>
        <v>310750</v>
      </c>
      <c r="AH122" s="63"/>
      <c r="AI122" s="63"/>
      <c r="AJ122" s="75">
        <f t="shared" si="173"/>
        <v>310750</v>
      </c>
      <c r="AL122" s="63"/>
      <c r="AM122" s="63"/>
      <c r="AN122" s="63"/>
      <c r="AO122" s="63"/>
      <c r="AP122" s="75">
        <f t="shared" si="174"/>
        <v>0</v>
      </c>
      <c r="AR122" s="75">
        <f t="shared" si="175"/>
        <v>0</v>
      </c>
      <c r="AS122" s="75">
        <f t="shared" si="167"/>
        <v>2547400</v>
      </c>
      <c r="AT122" s="75">
        <f t="shared" si="167"/>
        <v>0</v>
      </c>
      <c r="AU122" s="75">
        <f t="shared" si="167"/>
        <v>0</v>
      </c>
      <c r="AV122" s="75">
        <f t="shared" si="176"/>
        <v>2547400</v>
      </c>
    </row>
    <row r="123" spans="1:48" x14ac:dyDescent="0.25">
      <c r="A123" s="21" t="s">
        <v>97</v>
      </c>
      <c r="B123" s="63">
        <f>(22.25*8*180)*B50</f>
        <v>272340</v>
      </c>
      <c r="C123" s="63">
        <f>(22.25*8*180)*C50</f>
        <v>160200</v>
      </c>
      <c r="D123" s="63"/>
      <c r="E123" s="63">
        <f>(20.25*8*180)*E50</f>
        <v>0</v>
      </c>
      <c r="F123" s="75">
        <f t="shared" si="168"/>
        <v>432540</v>
      </c>
      <c r="H123" s="63">
        <f>(22.25*8*180)*H50</f>
        <v>272340</v>
      </c>
      <c r="I123" s="63">
        <f>(22.25*8*180)*I50</f>
        <v>176220</v>
      </c>
      <c r="J123" s="63"/>
      <c r="K123" s="63">
        <f>(20.25*8*180)*K50</f>
        <v>0</v>
      </c>
      <c r="L123" s="75">
        <f t="shared" si="169"/>
        <v>448560</v>
      </c>
      <c r="N123" s="63">
        <f>(22.25*8*180)*N50</f>
        <v>368460</v>
      </c>
      <c r="O123" s="63">
        <f>(22.25*8*180)*O50</f>
        <v>448560</v>
      </c>
      <c r="P123" s="63"/>
      <c r="Q123" s="63">
        <f>(20.25*8*180)*Q50</f>
        <v>0</v>
      </c>
      <c r="R123" s="75">
        <f t="shared" si="170"/>
        <v>817020</v>
      </c>
      <c r="T123" s="63">
        <f>21.25*8*185*T50</f>
        <v>110075</v>
      </c>
      <c r="U123" s="63">
        <f>21.25*8*185*U50</f>
        <v>94350</v>
      </c>
      <c r="V123" s="63">
        <f t="shared" ref="V123:W123" si="177">20*8*185*V50</f>
        <v>0</v>
      </c>
      <c r="W123" s="63">
        <f t="shared" si="177"/>
        <v>0</v>
      </c>
      <c r="X123" s="75">
        <f t="shared" si="171"/>
        <v>204425</v>
      </c>
      <c r="Y123" s="194"/>
      <c r="Z123" s="63">
        <f>22*8*185*Z50</f>
        <v>162800</v>
      </c>
      <c r="AA123" s="63">
        <f>22*8*185*AA50</f>
        <v>227920</v>
      </c>
      <c r="AB123" s="63">
        <f t="shared" ref="AB123:AC123" si="178">20*8*185*AB50</f>
        <v>0</v>
      </c>
      <c r="AC123" s="63">
        <f t="shared" si="178"/>
        <v>0</v>
      </c>
      <c r="AD123" s="75">
        <f t="shared" si="172"/>
        <v>390720</v>
      </c>
      <c r="AE123" s="194"/>
      <c r="AF123" s="63">
        <f>21*8*185*AF50</f>
        <v>155400</v>
      </c>
      <c r="AG123" s="63">
        <f>21*8*185*AG50</f>
        <v>186480</v>
      </c>
      <c r="AH123" s="63">
        <v>0</v>
      </c>
      <c r="AI123" s="63">
        <f t="shared" ref="AI123" si="179">20*8*185*AI50</f>
        <v>0</v>
      </c>
      <c r="AJ123" s="75">
        <f t="shared" si="173"/>
        <v>341880</v>
      </c>
      <c r="AL123" s="63">
        <f>(45000)*1.01*1.01*1.01*1.01*1.01</f>
        <v>47295.4522545</v>
      </c>
      <c r="AM123" s="63"/>
      <c r="AN123" s="63"/>
      <c r="AO123" s="63">
        <v>600000</v>
      </c>
      <c r="AP123" s="75">
        <f t="shared" si="174"/>
        <v>647295.45225450001</v>
      </c>
      <c r="AR123" s="75">
        <f t="shared" si="175"/>
        <v>1388710.4522545</v>
      </c>
      <c r="AS123" s="75">
        <f t="shared" si="167"/>
        <v>1293730</v>
      </c>
      <c r="AT123" s="75">
        <f t="shared" si="167"/>
        <v>0</v>
      </c>
      <c r="AU123" s="75">
        <f t="shared" si="167"/>
        <v>600000</v>
      </c>
      <c r="AV123" s="75">
        <f t="shared" si="176"/>
        <v>3282440.4522545002</v>
      </c>
    </row>
    <row r="124" spans="1:48" x14ac:dyDescent="0.25">
      <c r="A124" s="22" t="s">
        <v>54</v>
      </c>
      <c r="B124" s="64">
        <f>200*180*B59</f>
        <v>72000</v>
      </c>
      <c r="C124" s="64"/>
      <c r="D124" s="64"/>
      <c r="E124" s="64"/>
      <c r="F124" s="75">
        <f t="shared" si="168"/>
        <v>72000</v>
      </c>
      <c r="H124" s="64">
        <f>200*180*H59</f>
        <v>36000</v>
      </c>
      <c r="I124" s="64"/>
      <c r="J124" s="64"/>
      <c r="K124" s="64"/>
      <c r="L124" s="75">
        <f t="shared" si="169"/>
        <v>36000</v>
      </c>
      <c r="N124" s="64">
        <f>200*180*N59</f>
        <v>108000</v>
      </c>
      <c r="O124" s="64"/>
      <c r="P124" s="64"/>
      <c r="Q124" s="64"/>
      <c r="R124" s="75">
        <f t="shared" si="170"/>
        <v>108000</v>
      </c>
      <c r="T124" s="64">
        <f>175*180*T59</f>
        <v>0</v>
      </c>
      <c r="U124" s="64"/>
      <c r="V124" s="64"/>
      <c r="W124" s="64"/>
      <c r="X124" s="75">
        <f t="shared" si="171"/>
        <v>0</v>
      </c>
      <c r="Y124" s="194"/>
      <c r="Z124" s="64">
        <f>175*180*Z59</f>
        <v>0</v>
      </c>
      <c r="AA124" s="64"/>
      <c r="AB124" s="64"/>
      <c r="AC124" s="64"/>
      <c r="AD124" s="75">
        <f t="shared" si="172"/>
        <v>0</v>
      </c>
      <c r="AE124" s="194"/>
      <c r="AF124" s="64">
        <f>175*180*AF59</f>
        <v>0</v>
      </c>
      <c r="AG124" s="64"/>
      <c r="AH124" s="64"/>
      <c r="AI124" s="64"/>
      <c r="AJ124" s="75">
        <f t="shared" si="173"/>
        <v>0</v>
      </c>
      <c r="AL124" s="64"/>
      <c r="AM124" s="64"/>
      <c r="AN124" s="64"/>
      <c r="AO124" s="64"/>
      <c r="AP124" s="75">
        <f t="shared" si="174"/>
        <v>0</v>
      </c>
      <c r="AR124" s="75">
        <f t="shared" si="175"/>
        <v>216000</v>
      </c>
      <c r="AS124" s="75">
        <f t="shared" si="167"/>
        <v>0</v>
      </c>
      <c r="AT124" s="75">
        <f t="shared" si="167"/>
        <v>0</v>
      </c>
      <c r="AU124" s="75">
        <f t="shared" si="167"/>
        <v>0</v>
      </c>
      <c r="AV124" s="75">
        <f t="shared" si="176"/>
        <v>216000</v>
      </c>
    </row>
    <row r="125" spans="1:48" x14ac:dyDescent="0.25">
      <c r="A125" s="29"/>
      <c r="B125" s="76">
        <f t="shared" ref="B125:E125" si="180">SUM(B119:B124)</f>
        <v>3791056.9069989501</v>
      </c>
      <c r="C125" s="76">
        <f t="shared" si="180"/>
        <v>515200</v>
      </c>
      <c r="D125" s="76">
        <f t="shared" si="180"/>
        <v>0</v>
      </c>
      <c r="E125" s="76">
        <f t="shared" si="180"/>
        <v>0</v>
      </c>
      <c r="F125" s="76">
        <f t="shared" ref="F125" si="181">SUM(F119:F124)</f>
        <v>4306256.9069989501</v>
      </c>
      <c r="H125" s="76">
        <f t="shared" ref="H125:L125" si="182">SUM(H119:H124)</f>
        <v>3624307.5414303252</v>
      </c>
      <c r="I125" s="76">
        <f t="shared" si="182"/>
        <v>454320</v>
      </c>
      <c r="J125" s="76">
        <f t="shared" si="182"/>
        <v>0</v>
      </c>
      <c r="K125" s="76">
        <f t="shared" si="182"/>
        <v>0</v>
      </c>
      <c r="L125" s="76">
        <f t="shared" si="182"/>
        <v>4078627.5414303252</v>
      </c>
      <c r="N125" s="76">
        <f t="shared" ref="N125:R125" si="183">SUM(N119:N124)</f>
        <v>7988136.0152669549</v>
      </c>
      <c r="O125" s="76">
        <f t="shared" si="183"/>
        <v>1421560</v>
      </c>
      <c r="P125" s="76">
        <f t="shared" si="183"/>
        <v>0</v>
      </c>
      <c r="Q125" s="76">
        <f t="shared" si="183"/>
        <v>0</v>
      </c>
      <c r="R125" s="76">
        <f t="shared" si="183"/>
        <v>9409696.0152669549</v>
      </c>
      <c r="T125" s="76">
        <f t="shared" ref="T125:X125" si="184">SUM(T119:T124)</f>
        <v>1600030.8040080001</v>
      </c>
      <c r="U125" s="76">
        <f t="shared" si="184"/>
        <v>285300</v>
      </c>
      <c r="V125" s="76">
        <f t="shared" si="184"/>
        <v>0</v>
      </c>
      <c r="W125" s="76">
        <f t="shared" si="184"/>
        <v>0</v>
      </c>
      <c r="X125" s="76">
        <f t="shared" si="184"/>
        <v>1885330.8040080001</v>
      </c>
      <c r="Y125" s="199"/>
      <c r="Z125" s="76">
        <f t="shared" ref="Z125:AD125" si="185">SUM(Z119:Z124)</f>
        <v>3618296.6416000002</v>
      </c>
      <c r="AA125" s="76">
        <f t="shared" si="185"/>
        <v>667520</v>
      </c>
      <c r="AB125" s="76">
        <f t="shared" si="185"/>
        <v>0</v>
      </c>
      <c r="AC125" s="76">
        <f t="shared" si="185"/>
        <v>0</v>
      </c>
      <c r="AD125" s="76">
        <f t="shared" si="185"/>
        <v>4285816.6415999997</v>
      </c>
      <c r="AE125" s="199"/>
      <c r="AF125" s="76">
        <f t="shared" ref="AF125:AJ125" si="186">SUM(AF119:AF124)</f>
        <v>2769709.682</v>
      </c>
      <c r="AG125" s="76">
        <f t="shared" si="186"/>
        <v>497230</v>
      </c>
      <c r="AH125" s="76">
        <f t="shared" si="186"/>
        <v>0</v>
      </c>
      <c r="AI125" s="76">
        <f t="shared" si="186"/>
        <v>0</v>
      </c>
      <c r="AJ125" s="76">
        <f t="shared" si="186"/>
        <v>3266939.682</v>
      </c>
      <c r="AL125" s="76">
        <f t="shared" ref="AL125:AP125" si="187">SUM(AL119:AL124)</f>
        <v>47295.4522545</v>
      </c>
      <c r="AM125" s="76">
        <f t="shared" si="187"/>
        <v>0</v>
      </c>
      <c r="AN125" s="76">
        <f t="shared" si="187"/>
        <v>0</v>
      </c>
      <c r="AO125" s="76">
        <f t="shared" si="187"/>
        <v>1085000</v>
      </c>
      <c r="AP125" s="76">
        <f t="shared" si="187"/>
        <v>1132295.4522545</v>
      </c>
      <c r="AR125" s="76">
        <f t="shared" ref="AR125:AV125" si="188">SUM(AR119:AR124)</f>
        <v>23438833.043558732</v>
      </c>
      <c r="AS125" s="76">
        <f t="shared" si="188"/>
        <v>3841130</v>
      </c>
      <c r="AT125" s="76">
        <f t="shared" si="188"/>
        <v>0</v>
      </c>
      <c r="AU125" s="76">
        <f t="shared" si="188"/>
        <v>1085000</v>
      </c>
      <c r="AV125" s="76">
        <f t="shared" si="188"/>
        <v>28364963.043558732</v>
      </c>
    </row>
    <row r="126" spans="1:48" x14ac:dyDescent="0.25">
      <c r="A126" s="20" t="s">
        <v>305</v>
      </c>
      <c r="B126" s="75">
        <f>B125*0.3925</f>
        <v>1487989.8359970879</v>
      </c>
      <c r="C126" s="75">
        <f t="shared" ref="C126:E126" si="189">C125*0.3925</f>
        <v>202216</v>
      </c>
      <c r="D126" s="75">
        <f t="shared" si="189"/>
        <v>0</v>
      </c>
      <c r="E126" s="75">
        <f t="shared" si="189"/>
        <v>0</v>
      </c>
      <c r="F126" s="75">
        <f>SUM(B126:E126)</f>
        <v>1690205.8359970879</v>
      </c>
      <c r="H126" s="75">
        <f>H125*0.3925</f>
        <v>1422540.7100114026</v>
      </c>
      <c r="I126" s="75">
        <f t="shared" ref="I126" si="190">I125*0.3925</f>
        <v>178320.6</v>
      </c>
      <c r="J126" s="75">
        <f t="shared" ref="J126:K126" si="191">J125*0.3875</f>
        <v>0</v>
      </c>
      <c r="K126" s="75">
        <f t="shared" si="191"/>
        <v>0</v>
      </c>
      <c r="L126" s="75">
        <f>SUM(H126:K126)</f>
        <v>1600861.3100114027</v>
      </c>
      <c r="N126" s="75">
        <f>N125*0.3925</f>
        <v>3135343.3859922797</v>
      </c>
      <c r="O126" s="75">
        <f t="shared" ref="O126" si="192">O125*0.3925</f>
        <v>557962.30000000005</v>
      </c>
      <c r="P126" s="75">
        <f t="shared" ref="P126" si="193">P125*0.3875</f>
        <v>0</v>
      </c>
      <c r="Q126" s="75">
        <f t="shared" ref="Q126" si="194">Q125*0.3825</f>
        <v>0</v>
      </c>
      <c r="R126" s="75">
        <f>SUM(N126:Q126)</f>
        <v>3693305.68599228</v>
      </c>
      <c r="T126" s="75">
        <f>T125*0.3925</f>
        <v>628012.09057314007</v>
      </c>
      <c r="U126" s="75">
        <f t="shared" ref="U126" si="195">U125*0.3925</f>
        <v>111980.25</v>
      </c>
      <c r="V126" s="75">
        <f t="shared" ref="V126" si="196">V125*0.3925</f>
        <v>0</v>
      </c>
      <c r="W126" s="75">
        <f t="shared" ref="W126" si="197">W125*0.3925</f>
        <v>0</v>
      </c>
      <c r="X126" s="75">
        <f>SUM(T126:W126)</f>
        <v>739992.34057314007</v>
      </c>
      <c r="Y126" s="194"/>
      <c r="Z126" s="75">
        <f>Z125*0.3925</f>
        <v>1420181.4318280001</v>
      </c>
      <c r="AA126" s="75">
        <f t="shared" ref="AA126" si="198">AA125*0.3925</f>
        <v>262001.6</v>
      </c>
      <c r="AB126" s="75">
        <f t="shared" ref="AB126" si="199">AB125*0.3875</f>
        <v>0</v>
      </c>
      <c r="AC126" s="75">
        <f t="shared" ref="AC126" si="200">AC125*0.3875</f>
        <v>0</v>
      </c>
      <c r="AD126" s="75">
        <f>SUM(Z126:AC126)</f>
        <v>1682183.0318280002</v>
      </c>
      <c r="AE126" s="194"/>
      <c r="AF126" s="75">
        <f>AF125*0.3925</f>
        <v>1087111.0501850001</v>
      </c>
      <c r="AG126" s="75">
        <f t="shared" ref="AG126" si="201">AG125*0.3925</f>
        <v>195162.77499999999</v>
      </c>
      <c r="AH126" s="75">
        <f t="shared" ref="AH126:AI126" si="202">AH125*0.3875</f>
        <v>0</v>
      </c>
      <c r="AI126" s="75">
        <f t="shared" si="202"/>
        <v>0</v>
      </c>
      <c r="AJ126" s="75">
        <f>SUM(AF126:AI126)</f>
        <v>1282273.825185</v>
      </c>
      <c r="AL126" s="75">
        <f>AL125*0.3925</f>
        <v>18563.46500989125</v>
      </c>
      <c r="AM126" s="75">
        <f t="shared" ref="AM126:AO126" si="203">AM125*0.3925</f>
        <v>0</v>
      </c>
      <c r="AN126" s="75">
        <f t="shared" si="203"/>
        <v>0</v>
      </c>
      <c r="AO126" s="75">
        <f t="shared" si="203"/>
        <v>425862.5</v>
      </c>
      <c r="AP126" s="75">
        <f>SUM(AL126:AO126)</f>
        <v>444425.96500989125</v>
      </c>
      <c r="AR126" s="75">
        <f>B126+H126+N126+T126+AL126+AF126+Z126</f>
        <v>9199741.9695968013</v>
      </c>
      <c r="AS126" s="75">
        <f t="shared" ref="AS126:AU131" si="204">C126+I126+O126+U126+AM126+AG126+AA126</f>
        <v>1507643.5249999999</v>
      </c>
      <c r="AT126" s="75">
        <f t="shared" si="204"/>
        <v>0</v>
      </c>
      <c r="AU126" s="75">
        <f t="shared" si="204"/>
        <v>425862.5</v>
      </c>
      <c r="AV126" s="75">
        <f>SUM(AR126:AU126)</f>
        <v>11133247.994596802</v>
      </c>
    </row>
    <row r="127" spans="1:48" x14ac:dyDescent="0.25">
      <c r="A127" s="21" t="s">
        <v>90</v>
      </c>
      <c r="B127" s="61">
        <f>(((12700*(B63*0.9))+((260*(B63*0.875))+((120*(B63*0.85))+(B65*35)+(B125*0.015)+(B125*0.03)))))-2500</f>
        <v>835239.31081495271</v>
      </c>
      <c r="C127" s="61">
        <f>(((12700*(C63*0.875))+((260*(C63*0.875))+((120*(C63*0.85))+(C65*35)+(C125*0.015)+(C125*0.03)))))</f>
        <v>138041.5</v>
      </c>
      <c r="D127" s="61">
        <v>0</v>
      </c>
      <c r="E127" s="61">
        <f t="shared" ref="E127" si="205">(((12700*(E63*0.875))+((260*(E63*0.875))+((120*(E63*0.85))+(E65*35)+(E125*0.015)+(E125*0.03)))))</f>
        <v>0</v>
      </c>
      <c r="F127" s="75">
        <f t="shared" ref="F127:F131" si="206">SUM(B127:E127)</f>
        <v>973280.81081495271</v>
      </c>
      <c r="H127" s="61">
        <f>(((12700*(H63*0.9))+((260*(H63*0.875))+((120*(H63*0.85))+(H65*35)+(H125*0.015)+(H125*0.03)))))-2500</f>
        <v>821750.83936436463</v>
      </c>
      <c r="I127" s="61">
        <f>(((12700*(I63*0.875))+((260*(I63*0.875))+((120*(I63*0.85))+(I65*35)+(I125*0.015)+(I125*0.03)))))</f>
        <v>129563.4</v>
      </c>
      <c r="J127" s="61">
        <f>(((8975*(J63*0.85))+((200*(J63*0.85))+((80*(J63*0.85))+(J63*10)+(J125*0.015)+(J125*0.03)))))</f>
        <v>0</v>
      </c>
      <c r="K127" s="61">
        <f t="shared" ref="K127" si="207">(((8150*(K63*0.85))+((185*(K63*0.85))+((75*(K63*0.85))+(K65*7)+(K125*0.015)+(K125*0.03)))))</f>
        <v>0</v>
      </c>
      <c r="L127" s="75">
        <f t="shared" ref="L127:L131" si="208">SUM(H127:K127)</f>
        <v>951314.23936436465</v>
      </c>
      <c r="N127" s="61">
        <f>(((12700*(N63*0.9))+((260*(N63*0.875))+((120*(N63*0.85))+(N65*35)+(N125*0.015)+(N125*0.03)))))-2500</f>
        <v>1756049.370687013</v>
      </c>
      <c r="O127" s="61">
        <f>(((12700*(O63*0.875))+((260*(O63*0.875))+((120*(O63*0.85))+(O65*35)+(O125*0.015)+(O125*0.03)))))</f>
        <v>385431.2</v>
      </c>
      <c r="P127" s="61">
        <f>(((8975*(P63*0.85))+((200*(P63*0.85))+((80*(P63*0.85))+(P63*10)+(P125*0.015)+(P125*0.03)))))</f>
        <v>0</v>
      </c>
      <c r="Q127" s="61">
        <f t="shared" ref="Q127" si="209">(((8150*(Q63*0.85))+((185*(Q63*0.85))+((75*(Q63*0.85))+(Q65*7)+(Q125*0.015)+(Q125*0.03)))))</f>
        <v>0</v>
      </c>
      <c r="R127" s="75">
        <f t="shared" ref="R127:R131" si="210">SUM(N127:Q127)</f>
        <v>2141480.5706870132</v>
      </c>
      <c r="T127" s="61">
        <f>(((12925*(T63*0.85))+((265*(T63*0.85))+((120*(T63*0.85))+(T65*40)+(T125*0.015)+(T125*0.03)))))</f>
        <v>384382.63618035999</v>
      </c>
      <c r="U127" s="61">
        <f t="shared" ref="U127" si="211">(((12925*(U63*0.85))+((265*(U63*0.85))+((120*(U63*0.85))+(U65*40)+(U125*0.015)+(U125*0.03)))))</f>
        <v>80959.5</v>
      </c>
      <c r="V127" s="61">
        <v>0</v>
      </c>
      <c r="W127" s="61">
        <f t="shared" ref="W127" si="212">(((12925*(W63*0.85))+((265*(W63*0.85))+((120*(W63*0.85))+(W65*40)+(W125*0.015)+(W125*0.03)))))</f>
        <v>0</v>
      </c>
      <c r="X127" s="75">
        <f t="shared" ref="X127:X131" si="213">SUM(T127:W127)</f>
        <v>465342.13618035999</v>
      </c>
      <c r="Y127" s="194"/>
      <c r="Z127" s="61">
        <f>(((12700*(Z63*0.9))+((260*(Z63*0.875))+((120*(Z63*0.85))+(Z65*35)+(Z125*0.015)+(Z125*0.03)))))-2500</f>
        <v>892177.348872</v>
      </c>
      <c r="AA127" s="61">
        <f>(((12700*(AA63*0.875))+((260*(AA63*0.875))+((120*(AA63*0.85))+(AA65*35)+(AA125*0.015)+(AA125*0.03)))))</f>
        <v>190716.4</v>
      </c>
      <c r="AB127" s="61">
        <f>(((8975*(AB63*0.85))+((200*(AB63*0.85))+((80*(AB63*0.85))+(AB63*10)+(AB125*0.015)+(AB125*0.03)))))</f>
        <v>0</v>
      </c>
      <c r="AC127" s="61">
        <f t="shared" ref="AC127" si="214">(((8150*(AC63*0.85))+((185*(AC63*0.85))+((75*(AC63*0.85))+(AC65*7)+(AC125*0.015)+(AC125*0.03)))))</f>
        <v>0</v>
      </c>
      <c r="AD127" s="75">
        <f t="shared" ref="AD127:AD131" si="215">SUM(Z127:AC127)</f>
        <v>1082893.748872</v>
      </c>
      <c r="AE127" s="194"/>
      <c r="AF127" s="61">
        <f>(((12700*(AF63*0.9))+((260*(AF63*0.875))+((120*(AF63*0.85))+(AF65*35)+(AF125*0.015)+(AF125*0.03)))))-2500</f>
        <v>700592.43568999995</v>
      </c>
      <c r="AG127" s="61">
        <f>(((12700*(AG63*0.875))+((260*(AG63*0.875))+((120*(AG63*0.85))+(AG65*35)+(AG125*0.015)+(AG125*0.03)))))</f>
        <v>148622.35</v>
      </c>
      <c r="AH127" s="61">
        <f>(((8975*(AH63*0.85))+((200*(AH63*0.85))+((80*(AH63*0.85))+(AH63*10)+(AH125*0.015)+(AH125*0.03)))))</f>
        <v>15753.5</v>
      </c>
      <c r="AI127" s="61">
        <f t="shared" ref="AI127" si="216">(((8150*(AI63*0.85))+((185*(AI63*0.85))+((75*(AI63*0.85))+(AI65*7)+(AI125*0.015)+(AI125*0.03)))))</f>
        <v>0</v>
      </c>
      <c r="AJ127" s="75">
        <f t="shared" ref="AJ127:AJ131" si="217">SUM(AF127:AI127)</f>
        <v>864968.28568999993</v>
      </c>
      <c r="AL127" s="63">
        <f>AL125*0.21</f>
        <v>9932.0449734449994</v>
      </c>
      <c r="AM127" s="63">
        <f t="shared" ref="AM127:AN127" si="218">AM125*0.21</f>
        <v>0</v>
      </c>
      <c r="AN127" s="63">
        <f t="shared" si="218"/>
        <v>0</v>
      </c>
      <c r="AO127" s="63">
        <f>AO125*0.175</f>
        <v>189875</v>
      </c>
      <c r="AP127" s="75">
        <f t="shared" ref="AP127:AP131" si="219">SUM(AL127:AO127)</f>
        <v>199807.04497344501</v>
      </c>
      <c r="AR127" s="75">
        <f t="shared" ref="AR127:AR131" si="220">B127+H127+N127+T127+AL127+AF127+Z127</f>
        <v>5400123.9865821358</v>
      </c>
      <c r="AS127" s="75">
        <f t="shared" si="204"/>
        <v>1073334.3500000001</v>
      </c>
      <c r="AT127" s="75">
        <f t="shared" si="204"/>
        <v>15753.5</v>
      </c>
      <c r="AU127" s="75">
        <f t="shared" si="204"/>
        <v>189875</v>
      </c>
      <c r="AV127" s="75">
        <f t="shared" ref="AV127:AV131" si="221">SUM(AR127:AU127)</f>
        <v>6679086.8365821354</v>
      </c>
    </row>
    <row r="128" spans="1:48" x14ac:dyDescent="0.25">
      <c r="A128" s="21" t="s">
        <v>91</v>
      </c>
      <c r="B128" s="61">
        <f>((1250*B36)+((1500*(B41+B43))+(500*B50)+(1250*B59)))+(1000*8)</f>
        <v>75500</v>
      </c>
      <c r="C128" s="61">
        <f t="shared" ref="C128" si="222">((1250*C36)+((1500*(C41+C43))+(500*C50)+(1250*C59)))+(1000*5)</f>
        <v>13750</v>
      </c>
      <c r="D128" s="61">
        <f>((1250*D36)+((1500*(D41+D43))+(500*D50)+(1250*D59)))</f>
        <v>0</v>
      </c>
      <c r="E128" s="61">
        <f>((1250*E36)+((1500*(E41+E43))+(500*E50)+(1250*E59)))</f>
        <v>0</v>
      </c>
      <c r="F128" s="75">
        <f t="shared" si="206"/>
        <v>89250</v>
      </c>
      <c r="H128" s="61">
        <f>((1250*H36)+((1500*(H41+H43))+(500*H50)+(1250*H59)))+(1000*8)</f>
        <v>73500</v>
      </c>
      <c r="I128" s="61">
        <f t="shared" ref="I128" si="223">((1250*I36)+((1500*(I41+I43))+(500*I50)+(1250*I59)))+(1000*5)</f>
        <v>12750</v>
      </c>
      <c r="J128" s="61">
        <f>((1250*J36)+((1500*(J41+J43))+(500*J50)+(1250*J59)))</f>
        <v>0</v>
      </c>
      <c r="K128" s="61">
        <f>((1250*K36)+((1500*(K41+K43))+(500*K50)+(1250*K59)))</f>
        <v>0</v>
      </c>
      <c r="L128" s="75">
        <f t="shared" si="208"/>
        <v>86250</v>
      </c>
      <c r="N128" s="61">
        <f>((1250*N36)+((1500*(N41+N43))+(500*N50)+(1250*N59)))+(1000*8)</f>
        <v>152500</v>
      </c>
      <c r="O128" s="61">
        <f t="shared" ref="O128" si="224">((1250*O36)+((1500*(O41+O43))+(500*O50)+(1250*O59)))+(1000*5)</f>
        <v>29500</v>
      </c>
      <c r="P128" s="61">
        <f>((1250*P36)+((1500*(P41+P43))+(500*P50)+(1250*P59)))</f>
        <v>0</v>
      </c>
      <c r="Q128" s="61">
        <f>((1250*Q36)+((1500*(Q41+Q43))+(500*Q50)+(1250*Q59)))</f>
        <v>0</v>
      </c>
      <c r="R128" s="75">
        <f t="shared" si="210"/>
        <v>182000</v>
      </c>
      <c r="T128" s="61">
        <f>((1250*T36)+((1500*(T41+T43))+(500*T50)+(1250*T59)))+(1000*8)</f>
        <v>40000</v>
      </c>
      <c r="U128" s="61">
        <f t="shared" ref="U128" si="225">((1250*U36)+((1500*(U41+U43))+(500*U50)+(1250*U59)))+(1000*5)</f>
        <v>10250</v>
      </c>
      <c r="V128" s="61">
        <f>((1250*V36)+((1500*(V41+V43))+(500*V50)+(1250*V59)))</f>
        <v>0</v>
      </c>
      <c r="W128" s="61">
        <f>((1250*W36)+((1500*(W41+W43))+(500*W50)+(1250*W59)))</f>
        <v>0</v>
      </c>
      <c r="X128" s="75">
        <f t="shared" si="213"/>
        <v>50250</v>
      </c>
      <c r="Y128" s="194"/>
      <c r="Z128" s="61">
        <f>(((1250*Z36)+((1500*(Z41+Z43))+(500*Z50)+(1250*Z59)))+(1000*9))</f>
        <v>83250</v>
      </c>
      <c r="AA128" s="61">
        <f>(((1250*AA36)+((1500*(AA41+AA43))+(500*AA50)+(1250*AA59)))+(1000*2))</f>
        <v>14250</v>
      </c>
      <c r="AB128" s="61">
        <v>0</v>
      </c>
      <c r="AC128" s="61">
        <v>0</v>
      </c>
      <c r="AD128" s="75">
        <f t="shared" si="215"/>
        <v>97500</v>
      </c>
      <c r="AE128" s="194"/>
      <c r="AF128" s="61">
        <f>((1250*AF36)+((1500*(AF41+AF43))+(500*AF50)+(1250*AF59)))+(1000*8)</f>
        <v>66000</v>
      </c>
      <c r="AG128" s="61">
        <f t="shared" ref="AG128" si="226">((1250*AG36)+((1500*(AG41+AG43))+(500*AG50)+(1250*AG59)))+(1000*5)</f>
        <v>14250</v>
      </c>
      <c r="AH128" s="61">
        <v>0</v>
      </c>
      <c r="AI128" s="61">
        <f>((1250*AI36)+((1500*(AI41+AI43))+(500*AI50)+(1250*AI59)))</f>
        <v>0</v>
      </c>
      <c r="AJ128" s="75">
        <f t="shared" si="217"/>
        <v>80250</v>
      </c>
      <c r="AL128" s="61">
        <f>((1250*AL36)+((1500*(AL41+AL43))+(500*AL50)+(1250*AL59)))</f>
        <v>500</v>
      </c>
      <c r="AM128" s="61">
        <f>((1250*AM36)+((1500*(AM41+AM43))+(500*AM50)+(1250*AM59)))</f>
        <v>0</v>
      </c>
      <c r="AN128" s="61">
        <f>((1250*AN36)+((1500*(AN41+AN43))+(500*AN50)+(1250*AN59)))</f>
        <v>0</v>
      </c>
      <c r="AO128" s="61">
        <f>((1250*AO36)+((1500*(AO41+AO43))+(500*AO50)+(1250*AO59)))</f>
        <v>17500</v>
      </c>
      <c r="AP128" s="75">
        <f t="shared" si="219"/>
        <v>18000</v>
      </c>
      <c r="AR128" s="75">
        <f t="shared" si="220"/>
        <v>491250</v>
      </c>
      <c r="AS128" s="75">
        <f t="shared" si="204"/>
        <v>94750</v>
      </c>
      <c r="AT128" s="75">
        <f t="shared" si="204"/>
        <v>0</v>
      </c>
      <c r="AU128" s="75">
        <f t="shared" si="204"/>
        <v>17500</v>
      </c>
      <c r="AV128" s="75">
        <f t="shared" si="221"/>
        <v>603500</v>
      </c>
    </row>
    <row r="129" spans="1:48" x14ac:dyDescent="0.25">
      <c r="A129" s="21" t="s">
        <v>92</v>
      </c>
      <c r="B129" s="61">
        <f>250*B63</f>
        <v>14125</v>
      </c>
      <c r="C129" s="61">
        <f t="shared" ref="C129:D129" si="227">250*C63</f>
        <v>2500</v>
      </c>
      <c r="D129" s="61">
        <f t="shared" si="227"/>
        <v>0</v>
      </c>
      <c r="E129" s="61">
        <f>250*E63</f>
        <v>0</v>
      </c>
      <c r="F129" s="75">
        <f t="shared" si="206"/>
        <v>16625</v>
      </c>
      <c r="H129" s="61">
        <f>250*H63</f>
        <v>14000</v>
      </c>
      <c r="I129" s="61">
        <f t="shared" ref="I129:J129" si="228">250*I63</f>
        <v>2375</v>
      </c>
      <c r="J129" s="61">
        <f t="shared" si="228"/>
        <v>0</v>
      </c>
      <c r="K129" s="61">
        <f>250*K63</f>
        <v>0</v>
      </c>
      <c r="L129" s="75">
        <f t="shared" si="208"/>
        <v>16375</v>
      </c>
      <c r="N129" s="61">
        <f>250*N63</f>
        <v>29625</v>
      </c>
      <c r="O129" s="61">
        <f t="shared" ref="O129:P129" si="229">250*O63</f>
        <v>7000</v>
      </c>
      <c r="P129" s="61">
        <f t="shared" si="229"/>
        <v>0</v>
      </c>
      <c r="Q129" s="61">
        <f>250*Q63</f>
        <v>0</v>
      </c>
      <c r="R129" s="75">
        <f t="shared" si="210"/>
        <v>36625</v>
      </c>
      <c r="T129" s="61">
        <f>250*T63</f>
        <v>6875</v>
      </c>
      <c r="U129" s="61">
        <f t="shared" ref="U129:V129" si="230">250*U63</f>
        <v>1500</v>
      </c>
      <c r="V129" s="61">
        <f t="shared" si="230"/>
        <v>0</v>
      </c>
      <c r="W129" s="61">
        <f>250*W63</f>
        <v>0</v>
      </c>
      <c r="X129" s="75">
        <f t="shared" si="213"/>
        <v>8375</v>
      </c>
      <c r="Y129" s="194"/>
      <c r="Z129" s="61">
        <f>250*Z63</f>
        <v>15500</v>
      </c>
      <c r="AA129" s="61">
        <f t="shared" ref="AA129:AB129" si="231">250*AA63</f>
        <v>3500</v>
      </c>
      <c r="AB129" s="61">
        <f t="shared" si="231"/>
        <v>0</v>
      </c>
      <c r="AC129" s="61">
        <f>250*AC63</f>
        <v>0</v>
      </c>
      <c r="AD129" s="75">
        <f t="shared" si="215"/>
        <v>19000</v>
      </c>
      <c r="AE129" s="194"/>
      <c r="AF129" s="61">
        <f>250*AF63</f>
        <v>12250</v>
      </c>
      <c r="AG129" s="61">
        <f t="shared" ref="AG129" si="232">250*AG63</f>
        <v>2750</v>
      </c>
      <c r="AH129" s="61">
        <v>0</v>
      </c>
      <c r="AI129" s="61">
        <f>250*AI63</f>
        <v>0</v>
      </c>
      <c r="AJ129" s="75">
        <f t="shared" si="217"/>
        <v>15000</v>
      </c>
      <c r="AL129" s="61">
        <f>250*AL63</f>
        <v>250</v>
      </c>
      <c r="AM129" s="61">
        <f t="shared" ref="AM129:AN129" si="233">250*AM63</f>
        <v>0</v>
      </c>
      <c r="AN129" s="61">
        <f t="shared" si="233"/>
        <v>0</v>
      </c>
      <c r="AO129" s="61">
        <f>250*AO63</f>
        <v>6250</v>
      </c>
      <c r="AP129" s="75">
        <f t="shared" si="219"/>
        <v>6500</v>
      </c>
      <c r="AR129" s="75">
        <f t="shared" si="220"/>
        <v>92625</v>
      </c>
      <c r="AS129" s="75">
        <f t="shared" si="204"/>
        <v>19625</v>
      </c>
      <c r="AT129" s="75">
        <f t="shared" si="204"/>
        <v>0</v>
      </c>
      <c r="AU129" s="75">
        <f t="shared" si="204"/>
        <v>6250</v>
      </c>
      <c r="AV129" s="75">
        <f t="shared" si="221"/>
        <v>118500</v>
      </c>
    </row>
    <row r="130" spans="1:48" x14ac:dyDescent="0.25">
      <c r="A130" s="21" t="s">
        <v>98</v>
      </c>
      <c r="B130" s="63">
        <v>125000</v>
      </c>
      <c r="C130" s="63"/>
      <c r="D130" s="63"/>
      <c r="E130" s="63"/>
      <c r="F130" s="75">
        <f t="shared" si="206"/>
        <v>125000</v>
      </c>
      <c r="H130" s="63">
        <v>50000</v>
      </c>
      <c r="I130" s="63"/>
      <c r="J130" s="63"/>
      <c r="K130" s="63"/>
      <c r="L130" s="75">
        <f t="shared" si="208"/>
        <v>50000</v>
      </c>
      <c r="N130" s="63">
        <v>20000</v>
      </c>
      <c r="O130" s="63"/>
      <c r="P130" s="63"/>
      <c r="Q130" s="63"/>
      <c r="R130" s="75">
        <f t="shared" si="210"/>
        <v>20000</v>
      </c>
      <c r="T130" s="63">
        <v>0</v>
      </c>
      <c r="U130" s="63"/>
      <c r="V130" s="63"/>
      <c r="W130" s="63"/>
      <c r="X130" s="75">
        <f t="shared" si="213"/>
        <v>0</v>
      </c>
      <c r="Y130" s="194"/>
      <c r="Z130" s="63">
        <v>0</v>
      </c>
      <c r="AA130" s="63"/>
      <c r="AB130" s="63"/>
      <c r="AC130" s="63"/>
      <c r="AD130" s="75">
        <f t="shared" si="215"/>
        <v>0</v>
      </c>
      <c r="AE130" s="194"/>
      <c r="AF130" s="63"/>
      <c r="AG130" s="63"/>
      <c r="AH130" s="63"/>
      <c r="AI130" s="63"/>
      <c r="AJ130" s="75">
        <f t="shared" si="217"/>
        <v>0</v>
      </c>
      <c r="AL130" s="63"/>
      <c r="AM130" s="63"/>
      <c r="AN130" s="63"/>
      <c r="AO130" s="63"/>
      <c r="AP130" s="75">
        <f t="shared" si="219"/>
        <v>0</v>
      </c>
      <c r="AR130" s="75">
        <f t="shared" si="220"/>
        <v>195000</v>
      </c>
      <c r="AS130" s="75">
        <f t="shared" si="204"/>
        <v>0</v>
      </c>
      <c r="AT130" s="75">
        <f t="shared" si="204"/>
        <v>0</v>
      </c>
      <c r="AU130" s="75">
        <f t="shared" si="204"/>
        <v>0</v>
      </c>
      <c r="AV130" s="75">
        <f t="shared" si="221"/>
        <v>195000</v>
      </c>
    </row>
    <row r="131" spans="1:48" x14ac:dyDescent="0.25">
      <c r="A131" s="22" t="s">
        <v>94</v>
      </c>
      <c r="B131" s="64">
        <v>8500</v>
      </c>
      <c r="C131" s="64"/>
      <c r="D131" s="64"/>
      <c r="E131" s="64"/>
      <c r="F131" s="75">
        <f t="shared" si="206"/>
        <v>8500</v>
      </c>
      <c r="H131" s="64">
        <v>8500</v>
      </c>
      <c r="I131" s="64"/>
      <c r="J131" s="64"/>
      <c r="K131" s="64"/>
      <c r="L131" s="75">
        <f t="shared" si="208"/>
        <v>8500</v>
      </c>
      <c r="N131" s="64">
        <v>25000</v>
      </c>
      <c r="O131" s="64"/>
      <c r="P131" s="64"/>
      <c r="Q131" s="64"/>
      <c r="R131" s="75">
        <f t="shared" si="210"/>
        <v>25000</v>
      </c>
      <c r="T131" s="64">
        <v>8000</v>
      </c>
      <c r="U131" s="64"/>
      <c r="V131" s="64"/>
      <c r="W131" s="64"/>
      <c r="X131" s="75">
        <f t="shared" si="213"/>
        <v>8000</v>
      </c>
      <c r="Y131" s="194"/>
      <c r="Z131" s="64">
        <v>8000</v>
      </c>
      <c r="AA131" s="64"/>
      <c r="AB131" s="64"/>
      <c r="AC131" s="64"/>
      <c r="AD131" s="75">
        <f t="shared" si="215"/>
        <v>8000</v>
      </c>
      <c r="AE131" s="194"/>
      <c r="AF131" s="64">
        <v>12500</v>
      </c>
      <c r="AG131" s="64"/>
      <c r="AH131" s="64"/>
      <c r="AI131" s="64"/>
      <c r="AJ131" s="75">
        <f t="shared" si="217"/>
        <v>12500</v>
      </c>
      <c r="AL131" s="64"/>
      <c r="AM131" s="64"/>
      <c r="AN131" s="64"/>
      <c r="AO131" s="64"/>
      <c r="AP131" s="75">
        <f t="shared" si="219"/>
        <v>0</v>
      </c>
      <c r="AR131" s="75">
        <f t="shared" si="220"/>
        <v>70500</v>
      </c>
      <c r="AS131" s="75">
        <f t="shared" si="204"/>
        <v>0</v>
      </c>
      <c r="AT131" s="75">
        <f t="shared" si="204"/>
        <v>0</v>
      </c>
      <c r="AU131" s="75">
        <f t="shared" si="204"/>
        <v>0</v>
      </c>
      <c r="AV131" s="75">
        <f t="shared" si="221"/>
        <v>70500</v>
      </c>
    </row>
    <row r="132" spans="1:48" x14ac:dyDescent="0.25">
      <c r="A132" s="27"/>
      <c r="B132" s="76">
        <f>SUM(B126:B131)</f>
        <v>2546354.1468120404</v>
      </c>
      <c r="C132" s="76">
        <f t="shared" ref="C132:F132" si="234">SUM(C126:C131)</f>
        <v>356507.5</v>
      </c>
      <c r="D132" s="76">
        <f t="shared" si="234"/>
        <v>0</v>
      </c>
      <c r="E132" s="76">
        <f t="shared" si="234"/>
        <v>0</v>
      </c>
      <c r="F132" s="76">
        <f t="shared" si="234"/>
        <v>2902861.6468120404</v>
      </c>
      <c r="H132" s="76">
        <f>SUM(H126:H131)</f>
        <v>2390291.5493757674</v>
      </c>
      <c r="I132" s="76">
        <f t="shared" ref="I132:L132" si="235">SUM(I126:I131)</f>
        <v>323009</v>
      </c>
      <c r="J132" s="76">
        <f t="shared" si="235"/>
        <v>0</v>
      </c>
      <c r="K132" s="76">
        <f t="shared" si="235"/>
        <v>0</v>
      </c>
      <c r="L132" s="76">
        <f t="shared" si="235"/>
        <v>2713300.5493757674</v>
      </c>
      <c r="N132" s="76">
        <f>SUM(N126:N131)</f>
        <v>5118517.7566792928</v>
      </c>
      <c r="O132" s="76">
        <f t="shared" ref="O132:R132" si="236">SUM(O126:O131)</f>
        <v>979893.5</v>
      </c>
      <c r="P132" s="76">
        <f t="shared" si="236"/>
        <v>0</v>
      </c>
      <c r="Q132" s="76">
        <f t="shared" si="236"/>
        <v>0</v>
      </c>
      <c r="R132" s="76">
        <f t="shared" si="236"/>
        <v>6098411.2566792928</v>
      </c>
      <c r="T132" s="76">
        <f>SUM(T126:T131)</f>
        <v>1067269.7267535001</v>
      </c>
      <c r="U132" s="76">
        <f t="shared" ref="U132:X132" si="237">SUM(U126:U131)</f>
        <v>204689.75</v>
      </c>
      <c r="V132" s="76">
        <f t="shared" si="237"/>
        <v>0</v>
      </c>
      <c r="W132" s="76">
        <f t="shared" si="237"/>
        <v>0</v>
      </c>
      <c r="X132" s="76">
        <f t="shared" si="237"/>
        <v>1271959.4767535001</v>
      </c>
      <c r="Y132" s="199"/>
      <c r="Z132" s="76">
        <f>SUM(Z126:Z131)</f>
        <v>2419108.7807</v>
      </c>
      <c r="AA132" s="76">
        <f t="shared" ref="AA132:AD132" si="238">SUM(AA126:AA131)</f>
        <v>470468</v>
      </c>
      <c r="AB132" s="76">
        <f t="shared" si="238"/>
        <v>0</v>
      </c>
      <c r="AC132" s="76">
        <f t="shared" si="238"/>
        <v>0</v>
      </c>
      <c r="AD132" s="76">
        <f t="shared" si="238"/>
        <v>2889576.7807</v>
      </c>
      <c r="AE132" s="199"/>
      <c r="AF132" s="76">
        <f>SUM(AF126:AF131)</f>
        <v>1878453.485875</v>
      </c>
      <c r="AG132" s="76">
        <f t="shared" ref="AG132:AJ132" si="239">SUM(AG126:AG131)</f>
        <v>360785.125</v>
      </c>
      <c r="AH132" s="76">
        <f t="shared" si="239"/>
        <v>15753.5</v>
      </c>
      <c r="AI132" s="76">
        <f t="shared" si="239"/>
        <v>0</v>
      </c>
      <c r="AJ132" s="76">
        <f t="shared" si="239"/>
        <v>2254992.1108749998</v>
      </c>
      <c r="AL132" s="76">
        <f>SUM(AL126:AL131)</f>
        <v>29245.509983336247</v>
      </c>
      <c r="AM132" s="76">
        <f t="shared" ref="AM132:AP132" si="240">SUM(AM126:AM131)</f>
        <v>0</v>
      </c>
      <c r="AN132" s="76">
        <f t="shared" si="240"/>
        <v>0</v>
      </c>
      <c r="AO132" s="76">
        <f t="shared" si="240"/>
        <v>639487.5</v>
      </c>
      <c r="AP132" s="76">
        <f t="shared" si="240"/>
        <v>668733.00998333632</v>
      </c>
      <c r="AR132" s="76">
        <f>SUM(AR126:AR131)</f>
        <v>15449240.956178937</v>
      </c>
      <c r="AS132" s="76">
        <f t="shared" ref="AS132:AV132" si="241">SUM(AS126:AS131)</f>
        <v>2695352.875</v>
      </c>
      <c r="AT132" s="76">
        <f t="shared" si="241"/>
        <v>15753.5</v>
      </c>
      <c r="AU132" s="76">
        <f t="shared" si="241"/>
        <v>639487.5</v>
      </c>
      <c r="AV132" s="76">
        <f t="shared" si="241"/>
        <v>18799834.831178937</v>
      </c>
    </row>
    <row r="133" spans="1:48" x14ac:dyDescent="0.25">
      <c r="B133" s="79"/>
      <c r="C133" s="79"/>
      <c r="D133" s="79"/>
      <c r="E133" s="79"/>
      <c r="F133" s="79"/>
      <c r="H133" s="79"/>
      <c r="I133" s="79"/>
      <c r="J133" s="79"/>
      <c r="K133" s="79"/>
      <c r="L133" s="79"/>
      <c r="N133" s="79"/>
      <c r="O133" s="79"/>
      <c r="P133" s="79"/>
      <c r="Q133" s="79"/>
      <c r="R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L133" s="79"/>
      <c r="AM133" s="79"/>
      <c r="AN133" s="79"/>
      <c r="AO133" s="79"/>
      <c r="AP133" s="79"/>
      <c r="AR133" s="79"/>
      <c r="AS133" s="79"/>
      <c r="AT133" s="79"/>
      <c r="AU133" s="79"/>
      <c r="AV133" s="79"/>
    </row>
    <row r="134" spans="1:48" x14ac:dyDescent="0.25">
      <c r="A134" s="28"/>
      <c r="B134" s="78" t="s">
        <v>157</v>
      </c>
      <c r="C134" s="78" t="s">
        <v>158</v>
      </c>
      <c r="D134" s="78" t="s">
        <v>159</v>
      </c>
      <c r="E134" s="78" t="str">
        <f>E118</f>
        <v>Other</v>
      </c>
      <c r="F134" s="78" t="str">
        <f>F118</f>
        <v>FY31- Mtn</v>
      </c>
      <c r="H134" s="78" t="s">
        <v>157</v>
      </c>
      <c r="I134" s="78" t="s">
        <v>158</v>
      </c>
      <c r="J134" s="78" t="s">
        <v>159</v>
      </c>
      <c r="K134" s="78" t="str">
        <f>K118</f>
        <v>Other</v>
      </c>
      <c r="L134" s="78" t="str">
        <f>L118</f>
        <v>FY31- Bon</v>
      </c>
      <c r="N134" s="78" t="s">
        <v>157</v>
      </c>
      <c r="O134" s="78" t="s">
        <v>158</v>
      </c>
      <c r="P134" s="78" t="s">
        <v>159</v>
      </c>
      <c r="Q134" s="78" t="str">
        <f>Q118</f>
        <v>Other</v>
      </c>
      <c r="R134" s="78" t="str">
        <f>R118</f>
        <v>FY31- East</v>
      </c>
      <c r="T134" s="78" t="s">
        <v>157</v>
      </c>
      <c r="U134" s="78" t="s">
        <v>158</v>
      </c>
      <c r="V134" s="78" t="s">
        <v>159</v>
      </c>
      <c r="W134" s="78" t="str">
        <f>W118</f>
        <v>Other</v>
      </c>
      <c r="X134" s="78" t="str">
        <f>X118</f>
        <v>FY31- Cactus</v>
      </c>
      <c r="Y134" s="201"/>
      <c r="Z134" s="78" t="s">
        <v>157</v>
      </c>
      <c r="AA134" s="78" t="s">
        <v>158</v>
      </c>
      <c r="AB134" s="78" t="s">
        <v>159</v>
      </c>
      <c r="AC134" s="78" t="str">
        <f>AC118</f>
        <v>Other</v>
      </c>
      <c r="AD134" s="78" t="str">
        <f>AD118</f>
        <v>FY31- Sahara</v>
      </c>
      <c r="AE134" s="201"/>
      <c r="AF134" s="78" t="s">
        <v>157</v>
      </c>
      <c r="AG134" s="78" t="s">
        <v>158</v>
      </c>
      <c r="AH134" s="78" t="s">
        <v>159</v>
      </c>
      <c r="AI134" s="78" t="str">
        <f>AI118</f>
        <v>Other</v>
      </c>
      <c r="AJ134" s="78" t="str">
        <f>AJ118</f>
        <v>FY31- VV</v>
      </c>
      <c r="AL134" s="78" t="s">
        <v>157</v>
      </c>
      <c r="AM134" s="78" t="s">
        <v>158</v>
      </c>
      <c r="AN134" s="78" t="s">
        <v>159</v>
      </c>
      <c r="AO134" s="78" t="str">
        <f>AO118</f>
        <v>Grant</v>
      </c>
      <c r="AP134" s="78" t="str">
        <f>AP118</f>
        <v>FY31 - Central</v>
      </c>
      <c r="AR134" s="78" t="s">
        <v>157</v>
      </c>
      <c r="AS134" s="78" t="s">
        <v>158</v>
      </c>
      <c r="AT134" s="78" t="s">
        <v>159</v>
      </c>
      <c r="AU134" s="78" t="str">
        <f>AU118</f>
        <v>Other</v>
      </c>
      <c r="AV134" s="78" t="str">
        <f>AV118</f>
        <v>FY31- Sys</v>
      </c>
    </row>
    <row r="135" spans="1:48" x14ac:dyDescent="0.25">
      <c r="A135" s="30" t="s">
        <v>99</v>
      </c>
      <c r="B135" s="75">
        <f>(260*1050)</f>
        <v>273000</v>
      </c>
      <c r="C135" s="75"/>
      <c r="D135" s="75"/>
      <c r="E135" s="75"/>
      <c r="F135" s="75">
        <f>SUM(B135:E135)</f>
        <v>273000</v>
      </c>
      <c r="H135" s="75">
        <f>(260*1050)</f>
        <v>273000</v>
      </c>
      <c r="I135" s="75"/>
      <c r="J135" s="75"/>
      <c r="K135" s="75"/>
      <c r="L135" s="75">
        <f>SUM(H135:K135)</f>
        <v>273000</v>
      </c>
      <c r="N135" s="75">
        <f>(260*2550)</f>
        <v>663000</v>
      </c>
      <c r="O135" s="75"/>
      <c r="P135" s="75"/>
      <c r="Q135" s="75"/>
      <c r="R135" s="75">
        <f>SUM(N135:Q135)</f>
        <v>663000</v>
      </c>
      <c r="T135" s="75">
        <f>(275*550)</f>
        <v>151250</v>
      </c>
      <c r="U135" s="75"/>
      <c r="V135" s="75"/>
      <c r="W135" s="75"/>
      <c r="X135" s="75">
        <f>SUM(T135:W135)</f>
        <v>151250</v>
      </c>
      <c r="Y135" s="194"/>
      <c r="Z135" s="75">
        <f>(260*Z17)</f>
        <v>353860</v>
      </c>
      <c r="AA135" s="75"/>
      <c r="AB135" s="75"/>
      <c r="AC135" s="75"/>
      <c r="AD135" s="75">
        <f>SUM(Z135:AC135)</f>
        <v>353860</v>
      </c>
      <c r="AE135" s="194"/>
      <c r="AF135" s="75">
        <f>(265*1050)</f>
        <v>278250</v>
      </c>
      <c r="AG135" s="75"/>
      <c r="AH135" s="75"/>
      <c r="AI135" s="75"/>
      <c r="AJ135" s="75">
        <f>SUM(AF135:AI135)</f>
        <v>278250</v>
      </c>
      <c r="AL135" s="75"/>
      <c r="AM135" s="75"/>
      <c r="AN135" s="75"/>
      <c r="AO135" s="75"/>
      <c r="AP135" s="75">
        <f>SUM(AL135:AO135)</f>
        <v>0</v>
      </c>
      <c r="AR135" s="75">
        <f>B135+H135+N135+T135+AL135+AF135+Z135</f>
        <v>1992360</v>
      </c>
      <c r="AS135" s="75">
        <f t="shared" ref="AS135:AU140" si="242">C135+I135+O135+U135+AM135+AG135+AA135</f>
        <v>0</v>
      </c>
      <c r="AT135" s="75">
        <f t="shared" si="242"/>
        <v>0</v>
      </c>
      <c r="AU135" s="75">
        <f t="shared" si="242"/>
        <v>0</v>
      </c>
      <c r="AV135" s="75">
        <f>SUM(AR135:AU135)</f>
        <v>1992360</v>
      </c>
    </row>
    <row r="136" spans="1:48" x14ac:dyDescent="0.25">
      <c r="A136" s="31" t="s">
        <v>100</v>
      </c>
      <c r="B136" s="63"/>
      <c r="C136" s="63"/>
      <c r="D136" s="63"/>
      <c r="E136" s="63"/>
      <c r="F136" s="75">
        <f t="shared" ref="F136:F140" si="243">SUM(B136:E136)</f>
        <v>0</v>
      </c>
      <c r="H136" s="63"/>
      <c r="I136" s="63"/>
      <c r="J136" s="63"/>
      <c r="K136" s="63"/>
      <c r="L136" s="75">
        <f t="shared" ref="L136:L140" si="244">SUM(H136:K136)</f>
        <v>0</v>
      </c>
      <c r="N136" s="63">
        <v>350000</v>
      </c>
      <c r="O136" s="63"/>
      <c r="P136" s="63"/>
      <c r="Q136" s="63"/>
      <c r="R136" s="75">
        <f t="shared" ref="R136:R140" si="245">SUM(N136:Q136)</f>
        <v>350000</v>
      </c>
      <c r="T136" s="63"/>
      <c r="U136" s="63"/>
      <c r="V136" s="63"/>
      <c r="W136" s="63"/>
      <c r="X136" s="75">
        <f t="shared" ref="X136:X140" si="246">SUM(T136:W136)</f>
        <v>0</v>
      </c>
      <c r="Y136" s="194"/>
      <c r="Z136" s="63">
        <v>30000</v>
      </c>
      <c r="AA136" s="63"/>
      <c r="AB136" s="63"/>
      <c r="AC136" s="63"/>
      <c r="AD136" s="75">
        <f t="shared" ref="AD136:AD140" si="247">SUM(Z136:AC136)</f>
        <v>30000</v>
      </c>
      <c r="AE136" s="194"/>
      <c r="AF136" s="63"/>
      <c r="AG136" s="63"/>
      <c r="AH136" s="63"/>
      <c r="AI136" s="63"/>
      <c r="AJ136" s="75">
        <f t="shared" ref="AJ136:AJ140" si="248">SUM(AF136:AI136)</f>
        <v>0</v>
      </c>
      <c r="AL136" s="63"/>
      <c r="AM136" s="63"/>
      <c r="AN136" s="63"/>
      <c r="AO136" s="63"/>
      <c r="AP136" s="75">
        <f t="shared" ref="AP136:AP140" si="249">SUM(AL136:AO136)</f>
        <v>0</v>
      </c>
      <c r="AR136" s="75">
        <f t="shared" ref="AR136:AR140" si="250">B136+H136+N136+T136+AL136+AF136+Z136</f>
        <v>380000</v>
      </c>
      <c r="AS136" s="75">
        <f t="shared" si="242"/>
        <v>0</v>
      </c>
      <c r="AT136" s="75">
        <f t="shared" si="242"/>
        <v>0</v>
      </c>
      <c r="AU136" s="75">
        <f t="shared" si="242"/>
        <v>0</v>
      </c>
      <c r="AV136" s="75">
        <f t="shared" ref="AV136:AV140" si="251">SUM(AR136:AU136)</f>
        <v>380000</v>
      </c>
    </row>
    <row r="137" spans="1:48" x14ac:dyDescent="0.25">
      <c r="A137" s="32" t="s">
        <v>101</v>
      </c>
      <c r="B137" s="63"/>
      <c r="C137" s="63"/>
      <c r="D137" s="63"/>
      <c r="E137" s="63"/>
      <c r="F137" s="75">
        <f t="shared" si="243"/>
        <v>0</v>
      </c>
      <c r="H137" s="63"/>
      <c r="I137" s="63"/>
      <c r="J137" s="63"/>
      <c r="K137" s="63"/>
      <c r="L137" s="75">
        <f t="shared" si="244"/>
        <v>0</v>
      </c>
      <c r="N137" s="63">
        <v>65000</v>
      </c>
      <c r="O137" s="63"/>
      <c r="P137" s="63"/>
      <c r="Q137" s="63"/>
      <c r="R137" s="75">
        <f t="shared" si="245"/>
        <v>65000</v>
      </c>
      <c r="T137" s="63"/>
      <c r="U137" s="63"/>
      <c r="V137" s="63"/>
      <c r="W137" s="63"/>
      <c r="X137" s="75">
        <f t="shared" si="246"/>
        <v>0</v>
      </c>
      <c r="Y137" s="194"/>
      <c r="Z137" s="63"/>
      <c r="AA137" s="63"/>
      <c r="AB137" s="63"/>
      <c r="AC137" s="63"/>
      <c r="AD137" s="75">
        <f t="shared" si="247"/>
        <v>0</v>
      </c>
      <c r="AE137" s="194"/>
      <c r="AF137" s="63"/>
      <c r="AG137" s="63"/>
      <c r="AH137" s="63"/>
      <c r="AI137" s="63"/>
      <c r="AJ137" s="75">
        <f t="shared" si="248"/>
        <v>0</v>
      </c>
      <c r="AL137" s="63"/>
      <c r="AM137" s="63"/>
      <c r="AN137" s="63"/>
      <c r="AO137" s="63"/>
      <c r="AP137" s="75">
        <f t="shared" si="249"/>
        <v>0</v>
      </c>
      <c r="AR137" s="75">
        <f t="shared" si="250"/>
        <v>65000</v>
      </c>
      <c r="AS137" s="75">
        <f t="shared" si="242"/>
        <v>0</v>
      </c>
      <c r="AT137" s="75">
        <f t="shared" si="242"/>
        <v>0</v>
      </c>
      <c r="AU137" s="75">
        <f t="shared" si="242"/>
        <v>0</v>
      </c>
      <c r="AV137" s="75">
        <f t="shared" si="251"/>
        <v>65000</v>
      </c>
    </row>
    <row r="138" spans="1:48" x14ac:dyDescent="0.25">
      <c r="A138" s="32" t="s">
        <v>102</v>
      </c>
      <c r="B138" s="63">
        <f>40*B17</f>
        <v>41120</v>
      </c>
      <c r="C138" s="63"/>
      <c r="D138" s="63"/>
      <c r="E138" s="63"/>
      <c r="F138" s="75">
        <f t="shared" si="243"/>
        <v>41120</v>
      </c>
      <c r="H138" s="63">
        <f>40*H17</f>
        <v>41120</v>
      </c>
      <c r="I138" s="63"/>
      <c r="J138" s="63"/>
      <c r="K138" s="63"/>
      <c r="L138" s="75">
        <f t="shared" si="244"/>
        <v>41120</v>
      </c>
      <c r="N138" s="63">
        <f>40*N17</f>
        <v>100440</v>
      </c>
      <c r="O138" s="63"/>
      <c r="P138" s="63"/>
      <c r="Q138" s="63"/>
      <c r="R138" s="75">
        <f t="shared" si="245"/>
        <v>100440</v>
      </c>
      <c r="T138" s="63">
        <f>43*T17</f>
        <v>23220</v>
      </c>
      <c r="U138" s="63"/>
      <c r="V138" s="63"/>
      <c r="W138" s="63"/>
      <c r="X138" s="75">
        <f t="shared" si="246"/>
        <v>23220</v>
      </c>
      <c r="Y138" s="194"/>
      <c r="Z138" s="63">
        <f>40*Z17</f>
        <v>54440</v>
      </c>
      <c r="AA138" s="63"/>
      <c r="AB138" s="63"/>
      <c r="AC138" s="63"/>
      <c r="AD138" s="75">
        <f t="shared" si="247"/>
        <v>54440</v>
      </c>
      <c r="AE138" s="194"/>
      <c r="AF138" s="63">
        <f>42*AF17</f>
        <v>43134</v>
      </c>
      <c r="AG138" s="63"/>
      <c r="AH138" s="63"/>
      <c r="AI138" s="63"/>
      <c r="AJ138" s="75">
        <f t="shared" si="248"/>
        <v>43134</v>
      </c>
      <c r="AL138" s="63">
        <f>35*AL17</f>
        <v>0</v>
      </c>
      <c r="AM138" s="63"/>
      <c r="AN138" s="63"/>
      <c r="AO138" s="63"/>
      <c r="AP138" s="75">
        <f t="shared" si="249"/>
        <v>0</v>
      </c>
      <c r="AR138" s="75">
        <f t="shared" si="250"/>
        <v>303474</v>
      </c>
      <c r="AS138" s="75">
        <f t="shared" si="242"/>
        <v>0</v>
      </c>
      <c r="AT138" s="75">
        <f t="shared" si="242"/>
        <v>0</v>
      </c>
      <c r="AU138" s="75">
        <f t="shared" si="242"/>
        <v>0</v>
      </c>
      <c r="AV138" s="75">
        <f t="shared" si="251"/>
        <v>303474</v>
      </c>
    </row>
    <row r="139" spans="1:48" x14ac:dyDescent="0.25">
      <c r="A139" s="32" t="s">
        <v>103</v>
      </c>
      <c r="B139" s="63">
        <f>(27*B17)</f>
        <v>27756</v>
      </c>
      <c r="C139" s="63"/>
      <c r="D139" s="63"/>
      <c r="E139" s="63"/>
      <c r="F139" s="75">
        <f t="shared" si="243"/>
        <v>27756</v>
      </c>
      <c r="H139" s="63">
        <f>(27*H17)</f>
        <v>27756</v>
      </c>
      <c r="I139" s="63"/>
      <c r="J139" s="63"/>
      <c r="K139" s="63"/>
      <c r="L139" s="75">
        <f t="shared" si="244"/>
        <v>27756</v>
      </c>
      <c r="N139" s="63">
        <f>(27*N17)</f>
        <v>67797</v>
      </c>
      <c r="O139" s="63"/>
      <c r="P139" s="63"/>
      <c r="Q139" s="63"/>
      <c r="R139" s="75">
        <f t="shared" si="245"/>
        <v>67797</v>
      </c>
      <c r="T139" s="63">
        <f>(31*T17)</f>
        <v>16740</v>
      </c>
      <c r="U139" s="63"/>
      <c r="V139" s="63"/>
      <c r="W139" s="63"/>
      <c r="X139" s="75">
        <f t="shared" si="246"/>
        <v>16740</v>
      </c>
      <c r="Y139" s="194"/>
      <c r="Z139" s="63">
        <f>(27*Z17)</f>
        <v>36747</v>
      </c>
      <c r="AA139" s="63"/>
      <c r="AB139" s="63"/>
      <c r="AC139" s="63"/>
      <c r="AD139" s="75">
        <f t="shared" si="247"/>
        <v>36747</v>
      </c>
      <c r="AE139" s="194"/>
      <c r="AF139" s="63">
        <f>(30*AF17)</f>
        <v>30810</v>
      </c>
      <c r="AG139" s="63"/>
      <c r="AH139" s="63"/>
      <c r="AI139" s="63"/>
      <c r="AJ139" s="75">
        <f t="shared" si="248"/>
        <v>30810</v>
      </c>
      <c r="AL139" s="63">
        <f>(22*AL17)</f>
        <v>0</v>
      </c>
      <c r="AM139" s="63"/>
      <c r="AN139" s="63"/>
      <c r="AO139" s="63"/>
      <c r="AP139" s="75">
        <f t="shared" si="249"/>
        <v>0</v>
      </c>
      <c r="AR139" s="75">
        <f t="shared" si="250"/>
        <v>207606</v>
      </c>
      <c r="AS139" s="75">
        <f t="shared" si="242"/>
        <v>0</v>
      </c>
      <c r="AT139" s="75">
        <f t="shared" si="242"/>
        <v>0</v>
      </c>
      <c r="AU139" s="75">
        <f t="shared" si="242"/>
        <v>0</v>
      </c>
      <c r="AV139" s="75">
        <f t="shared" si="251"/>
        <v>207606</v>
      </c>
    </row>
    <row r="140" spans="1:48" x14ac:dyDescent="0.25">
      <c r="A140" s="33" t="s">
        <v>104</v>
      </c>
      <c r="B140" s="64"/>
      <c r="C140" s="64">
        <f>200*C21</f>
        <v>21000</v>
      </c>
      <c r="D140" s="64"/>
      <c r="E140" s="64"/>
      <c r="F140" s="75">
        <f t="shared" si="243"/>
        <v>21000</v>
      </c>
      <c r="H140" s="64"/>
      <c r="I140" s="64">
        <f>200*I21</f>
        <v>21000</v>
      </c>
      <c r="J140" s="64"/>
      <c r="K140" s="64"/>
      <c r="L140" s="75">
        <f t="shared" si="244"/>
        <v>21000</v>
      </c>
      <c r="N140" s="64"/>
      <c r="O140" s="64">
        <f>200*O21</f>
        <v>54000</v>
      </c>
      <c r="P140" s="64"/>
      <c r="Q140" s="64"/>
      <c r="R140" s="75">
        <f t="shared" si="245"/>
        <v>54000</v>
      </c>
      <c r="T140" s="64"/>
      <c r="U140" s="64">
        <f>230*U21</f>
        <v>13800</v>
      </c>
      <c r="V140" s="64"/>
      <c r="W140" s="64"/>
      <c r="X140" s="75">
        <f t="shared" si="246"/>
        <v>13800</v>
      </c>
      <c r="Y140" s="194"/>
      <c r="Z140" s="64"/>
      <c r="AA140" s="64">
        <f>200*AA21</f>
        <v>26000</v>
      </c>
      <c r="AB140" s="64"/>
      <c r="AC140" s="64"/>
      <c r="AD140" s="75">
        <f t="shared" si="247"/>
        <v>26000</v>
      </c>
      <c r="AE140" s="194"/>
      <c r="AF140" s="64"/>
      <c r="AG140" s="64">
        <f>225*AG21</f>
        <v>28125</v>
      </c>
      <c r="AH140" s="64"/>
      <c r="AI140" s="64"/>
      <c r="AJ140" s="75">
        <f t="shared" si="248"/>
        <v>28125</v>
      </c>
      <c r="AL140" s="64"/>
      <c r="AM140" s="64">
        <f>175*AM21</f>
        <v>0</v>
      </c>
      <c r="AN140" s="64"/>
      <c r="AO140" s="64"/>
      <c r="AP140" s="75">
        <f t="shared" si="249"/>
        <v>0</v>
      </c>
      <c r="AR140" s="75">
        <f t="shared" si="250"/>
        <v>0</v>
      </c>
      <c r="AS140" s="75">
        <f t="shared" si="242"/>
        <v>163925</v>
      </c>
      <c r="AT140" s="75">
        <f t="shared" si="242"/>
        <v>0</v>
      </c>
      <c r="AU140" s="75">
        <f t="shared" si="242"/>
        <v>0</v>
      </c>
      <c r="AV140" s="75">
        <f t="shared" si="251"/>
        <v>163925</v>
      </c>
    </row>
    <row r="141" spans="1:48" x14ac:dyDescent="0.25">
      <c r="A141" s="34"/>
      <c r="B141" s="76">
        <f>SUM(B135:B140)</f>
        <v>341876</v>
      </c>
      <c r="C141" s="76">
        <f t="shared" ref="C141:F141" si="252">SUM(C135:C140)</f>
        <v>21000</v>
      </c>
      <c r="D141" s="76">
        <f t="shared" si="252"/>
        <v>0</v>
      </c>
      <c r="E141" s="76">
        <f t="shared" si="252"/>
        <v>0</v>
      </c>
      <c r="F141" s="76">
        <f t="shared" si="252"/>
        <v>362876</v>
      </c>
      <c r="H141" s="76">
        <f>SUM(H135:H140)</f>
        <v>341876</v>
      </c>
      <c r="I141" s="76">
        <f t="shared" ref="I141:L141" si="253">SUM(I135:I140)</f>
        <v>21000</v>
      </c>
      <c r="J141" s="76">
        <f t="shared" si="253"/>
        <v>0</v>
      </c>
      <c r="K141" s="76">
        <f t="shared" si="253"/>
        <v>0</v>
      </c>
      <c r="L141" s="76">
        <f t="shared" si="253"/>
        <v>362876</v>
      </c>
      <c r="N141" s="76">
        <f>SUM(N135:N140)</f>
        <v>1246237</v>
      </c>
      <c r="O141" s="76">
        <f t="shared" ref="O141:R141" si="254">SUM(O135:O140)</f>
        <v>54000</v>
      </c>
      <c r="P141" s="76">
        <f t="shared" si="254"/>
        <v>0</v>
      </c>
      <c r="Q141" s="76">
        <f t="shared" si="254"/>
        <v>0</v>
      </c>
      <c r="R141" s="76">
        <f t="shared" si="254"/>
        <v>1300237</v>
      </c>
      <c r="T141" s="76">
        <f>SUM(T135:T140)</f>
        <v>191210</v>
      </c>
      <c r="U141" s="76">
        <f t="shared" ref="U141:X141" si="255">SUM(U135:U140)</f>
        <v>13800</v>
      </c>
      <c r="V141" s="76">
        <f t="shared" si="255"/>
        <v>0</v>
      </c>
      <c r="W141" s="76">
        <f t="shared" si="255"/>
        <v>0</v>
      </c>
      <c r="X141" s="76">
        <f t="shared" si="255"/>
        <v>205010</v>
      </c>
      <c r="Y141" s="199"/>
      <c r="Z141" s="76">
        <f>SUM(Z135:Z140)</f>
        <v>475047</v>
      </c>
      <c r="AA141" s="76">
        <f t="shared" ref="AA141:AD141" si="256">SUM(AA135:AA140)</f>
        <v>26000</v>
      </c>
      <c r="AB141" s="76">
        <f t="shared" si="256"/>
        <v>0</v>
      </c>
      <c r="AC141" s="76">
        <f t="shared" si="256"/>
        <v>0</v>
      </c>
      <c r="AD141" s="76">
        <f t="shared" si="256"/>
        <v>501047</v>
      </c>
      <c r="AE141" s="199"/>
      <c r="AF141" s="76">
        <f>SUM(AF135:AF140)</f>
        <v>352194</v>
      </c>
      <c r="AG141" s="76">
        <f t="shared" ref="AG141:AJ141" si="257">SUM(AG135:AG140)</f>
        <v>28125</v>
      </c>
      <c r="AH141" s="76">
        <f t="shared" si="257"/>
        <v>0</v>
      </c>
      <c r="AI141" s="76">
        <f t="shared" si="257"/>
        <v>0</v>
      </c>
      <c r="AJ141" s="76">
        <f t="shared" si="257"/>
        <v>380319</v>
      </c>
      <c r="AL141" s="76">
        <f>SUM(AL135:AL140)</f>
        <v>0</v>
      </c>
      <c r="AM141" s="76">
        <f t="shared" ref="AM141:AP141" si="258">SUM(AM135:AM140)</f>
        <v>0</v>
      </c>
      <c r="AN141" s="76">
        <f t="shared" si="258"/>
        <v>0</v>
      </c>
      <c r="AO141" s="76">
        <f t="shared" si="258"/>
        <v>0</v>
      </c>
      <c r="AP141" s="76">
        <f t="shared" si="258"/>
        <v>0</v>
      </c>
      <c r="AR141" s="76">
        <f>SUM(AR135:AR140)</f>
        <v>2948440</v>
      </c>
      <c r="AS141" s="76">
        <f t="shared" ref="AS141:AV141" si="259">SUM(AS135:AS140)</f>
        <v>163925</v>
      </c>
      <c r="AT141" s="76">
        <f t="shared" si="259"/>
        <v>0</v>
      </c>
      <c r="AU141" s="76">
        <f t="shared" si="259"/>
        <v>0</v>
      </c>
      <c r="AV141" s="76">
        <f t="shared" si="259"/>
        <v>3112365</v>
      </c>
    </row>
    <row r="142" spans="1:48" x14ac:dyDescent="0.25">
      <c r="B142" s="77"/>
      <c r="C142" s="77"/>
      <c r="D142" s="77"/>
      <c r="E142" s="77"/>
      <c r="F142" s="77"/>
      <c r="H142" s="77"/>
      <c r="I142" s="77"/>
      <c r="J142" s="77"/>
      <c r="K142" s="77"/>
      <c r="L142" s="77"/>
      <c r="N142" s="77"/>
      <c r="O142" s="77"/>
      <c r="P142" s="77"/>
      <c r="Q142" s="77"/>
      <c r="R142" s="77"/>
      <c r="T142" s="77"/>
      <c r="U142" s="77"/>
      <c r="V142" s="77"/>
      <c r="W142" s="77"/>
      <c r="X142" s="77"/>
      <c r="Y142" s="79"/>
      <c r="Z142" s="77"/>
      <c r="AA142" s="77"/>
      <c r="AB142" s="77"/>
      <c r="AC142" s="77"/>
      <c r="AD142" s="77"/>
      <c r="AE142" s="79"/>
      <c r="AF142" s="77"/>
      <c r="AG142" s="77"/>
      <c r="AH142" s="77"/>
      <c r="AI142" s="77"/>
      <c r="AJ142" s="77"/>
      <c r="AL142" s="77"/>
      <c r="AM142" s="77"/>
      <c r="AN142" s="77"/>
      <c r="AO142" s="77"/>
      <c r="AP142" s="77"/>
      <c r="AR142" s="77"/>
      <c r="AS142" s="77"/>
      <c r="AT142" s="77"/>
      <c r="AU142" s="77"/>
      <c r="AV142" s="77"/>
    </row>
    <row r="143" spans="1:48" x14ac:dyDescent="0.25">
      <c r="A143" s="28"/>
      <c r="B143" s="78" t="s">
        <v>157</v>
      </c>
      <c r="C143" s="78" t="s">
        <v>158</v>
      </c>
      <c r="D143" s="78" t="s">
        <v>159</v>
      </c>
      <c r="E143" s="78" t="str">
        <f>E134</f>
        <v>Other</v>
      </c>
      <c r="F143" s="78" t="str">
        <f>F134</f>
        <v>FY31- Mtn</v>
      </c>
      <c r="H143" s="78" t="s">
        <v>157</v>
      </c>
      <c r="I143" s="78" t="s">
        <v>158</v>
      </c>
      <c r="J143" s="78" t="s">
        <v>159</v>
      </c>
      <c r="K143" s="78" t="str">
        <f>K134</f>
        <v>Other</v>
      </c>
      <c r="L143" s="78" t="str">
        <f>L134</f>
        <v>FY31- Bon</v>
      </c>
      <c r="N143" s="78" t="s">
        <v>157</v>
      </c>
      <c r="O143" s="78" t="s">
        <v>158</v>
      </c>
      <c r="P143" s="78" t="s">
        <v>159</v>
      </c>
      <c r="Q143" s="78" t="str">
        <f>Q134</f>
        <v>Other</v>
      </c>
      <c r="R143" s="78" t="str">
        <f>R134</f>
        <v>FY31- East</v>
      </c>
      <c r="T143" s="78" t="s">
        <v>157</v>
      </c>
      <c r="U143" s="78" t="s">
        <v>158</v>
      </c>
      <c r="V143" s="78" t="s">
        <v>159</v>
      </c>
      <c r="W143" s="78" t="str">
        <f>W134</f>
        <v>Other</v>
      </c>
      <c r="X143" s="78" t="str">
        <f>X134</f>
        <v>FY31- Cactus</v>
      </c>
      <c r="Y143" s="201"/>
      <c r="Z143" s="78" t="s">
        <v>157</v>
      </c>
      <c r="AA143" s="78" t="s">
        <v>158</v>
      </c>
      <c r="AB143" s="78" t="s">
        <v>159</v>
      </c>
      <c r="AC143" s="78" t="str">
        <f>AC134</f>
        <v>Other</v>
      </c>
      <c r="AD143" s="78" t="str">
        <f>AD134</f>
        <v>FY31- Sahara</v>
      </c>
      <c r="AE143" s="201"/>
      <c r="AF143" s="78" t="s">
        <v>157</v>
      </c>
      <c r="AG143" s="78" t="s">
        <v>158</v>
      </c>
      <c r="AH143" s="78" t="s">
        <v>159</v>
      </c>
      <c r="AI143" s="78" t="str">
        <f>AI134</f>
        <v>Other</v>
      </c>
      <c r="AJ143" s="78" t="str">
        <f>AJ134</f>
        <v>FY31- VV</v>
      </c>
      <c r="AL143" s="78" t="s">
        <v>157</v>
      </c>
      <c r="AM143" s="78" t="s">
        <v>158</v>
      </c>
      <c r="AN143" s="78" t="s">
        <v>159</v>
      </c>
      <c r="AO143" s="78" t="str">
        <f>AO134</f>
        <v>Grant</v>
      </c>
      <c r="AP143" s="78" t="str">
        <f>AP134</f>
        <v>FY31 - Central</v>
      </c>
      <c r="AR143" s="78" t="s">
        <v>157</v>
      </c>
      <c r="AS143" s="78" t="s">
        <v>158</v>
      </c>
      <c r="AT143" s="78" t="s">
        <v>159</v>
      </c>
      <c r="AU143" s="78" t="str">
        <f>AU134</f>
        <v>Other</v>
      </c>
      <c r="AV143" s="78" t="str">
        <f>AV134</f>
        <v>FY31- Sys</v>
      </c>
    </row>
    <row r="144" spans="1:48" x14ac:dyDescent="0.25">
      <c r="A144" s="35" t="s">
        <v>105</v>
      </c>
      <c r="B144" s="75">
        <f>35*B17</f>
        <v>35980</v>
      </c>
      <c r="C144" s="75"/>
      <c r="D144" s="75"/>
      <c r="E144" s="75"/>
      <c r="F144" s="75">
        <f>SUM(B144:E144)</f>
        <v>35980</v>
      </c>
      <c r="H144" s="75">
        <f>35*H17</f>
        <v>35980</v>
      </c>
      <c r="I144" s="75"/>
      <c r="J144" s="75"/>
      <c r="K144" s="75"/>
      <c r="L144" s="75">
        <f>SUM(H144:K144)</f>
        <v>35980</v>
      </c>
      <c r="N144" s="75">
        <f>35*N17</f>
        <v>87885</v>
      </c>
      <c r="O144" s="75"/>
      <c r="P144" s="75"/>
      <c r="Q144" s="75"/>
      <c r="R144" s="75">
        <f>SUM(N144:Q144)</f>
        <v>87885</v>
      </c>
      <c r="T144" s="75">
        <f>37*T17</f>
        <v>19980</v>
      </c>
      <c r="U144" s="75"/>
      <c r="V144" s="75"/>
      <c r="W144" s="75"/>
      <c r="X144" s="75">
        <f>SUM(T144:W144)</f>
        <v>19980</v>
      </c>
      <c r="Y144" s="194"/>
      <c r="Z144" s="75">
        <f>35*Z17</f>
        <v>47635</v>
      </c>
      <c r="AA144" s="75"/>
      <c r="AB144" s="75"/>
      <c r="AC144" s="75"/>
      <c r="AD144" s="75">
        <f>SUM(Z144:AC144)</f>
        <v>47635</v>
      </c>
      <c r="AE144" s="194"/>
      <c r="AF144" s="75">
        <f>37*AF17</f>
        <v>37999</v>
      </c>
      <c r="AG144" s="75"/>
      <c r="AH144" s="75"/>
      <c r="AI144" s="75"/>
      <c r="AJ144" s="75">
        <f>SUM(AF144:AI144)</f>
        <v>37999</v>
      </c>
      <c r="AL144" s="75">
        <f>6000+250+250+250+250+300</f>
        <v>7300</v>
      </c>
      <c r="AM144" s="75"/>
      <c r="AN144" s="75"/>
      <c r="AO144" s="75"/>
      <c r="AP144" s="75">
        <f>SUM(AL144:AO144)</f>
        <v>7300</v>
      </c>
      <c r="AR144" s="75">
        <f>B144+H144+N144+T144+AL144+AF144+Z144</f>
        <v>272759</v>
      </c>
      <c r="AS144" s="75">
        <f t="shared" ref="AS144:AU148" si="260">C144+I144+O144+U144+AM144+AG144+AA144</f>
        <v>0</v>
      </c>
      <c r="AT144" s="75">
        <f t="shared" si="260"/>
        <v>0</v>
      </c>
      <c r="AU144" s="75">
        <f t="shared" si="260"/>
        <v>0</v>
      </c>
      <c r="AV144" s="75">
        <f>SUM(AR144:AU144)</f>
        <v>272759</v>
      </c>
    </row>
    <row r="145" spans="1:48" x14ac:dyDescent="0.25">
      <c r="A145" s="32" t="s">
        <v>103</v>
      </c>
      <c r="B145" s="63">
        <f>(4.5*B17)</f>
        <v>4626</v>
      </c>
      <c r="C145" s="63"/>
      <c r="D145" s="63"/>
      <c r="E145" s="63"/>
      <c r="F145" s="75">
        <f t="shared" ref="F145:F148" si="261">SUM(B145:E145)</f>
        <v>4626</v>
      </c>
      <c r="H145" s="63">
        <f>(4.5*H17)</f>
        <v>4626</v>
      </c>
      <c r="I145" s="63"/>
      <c r="J145" s="63"/>
      <c r="K145" s="63"/>
      <c r="L145" s="75">
        <f t="shared" ref="L145:L148" si="262">SUM(H145:K145)</f>
        <v>4626</v>
      </c>
      <c r="N145" s="63">
        <f>(4.5*N17)</f>
        <v>11299.5</v>
      </c>
      <c r="O145" s="63"/>
      <c r="P145" s="63"/>
      <c r="Q145" s="63"/>
      <c r="R145" s="75">
        <f t="shared" ref="R145:R148" si="263">SUM(N145:Q145)</f>
        <v>11299.5</v>
      </c>
      <c r="T145" s="63">
        <f>(8*T17)</f>
        <v>4320</v>
      </c>
      <c r="U145" s="63"/>
      <c r="V145" s="63"/>
      <c r="W145" s="63"/>
      <c r="X145" s="75">
        <f t="shared" ref="X145:X148" si="264">SUM(T145:W145)</f>
        <v>4320</v>
      </c>
      <c r="Y145" s="194"/>
      <c r="Z145" s="63">
        <f>(4.5*Z17)</f>
        <v>6124.5</v>
      </c>
      <c r="AA145" s="63"/>
      <c r="AB145" s="63"/>
      <c r="AC145" s="63"/>
      <c r="AD145" s="75">
        <f t="shared" ref="AD145:AD148" si="265">SUM(Z145:AC145)</f>
        <v>6124.5</v>
      </c>
      <c r="AE145" s="194"/>
      <c r="AF145" s="63">
        <f>(7*AF17)</f>
        <v>7189</v>
      </c>
      <c r="AG145" s="63"/>
      <c r="AH145" s="63"/>
      <c r="AI145" s="63"/>
      <c r="AJ145" s="75">
        <f t="shared" ref="AJ145:AJ148" si="266">SUM(AF145:AI145)</f>
        <v>7189</v>
      </c>
      <c r="AL145" s="63">
        <f>(3*AL17)</f>
        <v>0</v>
      </c>
      <c r="AM145" s="63"/>
      <c r="AN145" s="63"/>
      <c r="AO145" s="63"/>
      <c r="AP145" s="75">
        <f t="shared" ref="AP145:AP148" si="267">SUM(AL145:AO145)</f>
        <v>0</v>
      </c>
      <c r="AR145" s="75">
        <f t="shared" ref="AR145:AR148" si="268">B145+H145+N145+T145+AL145+AF145+Z145</f>
        <v>38185</v>
      </c>
      <c r="AS145" s="75">
        <f t="shared" si="260"/>
        <v>0</v>
      </c>
      <c r="AT145" s="75">
        <f t="shared" si="260"/>
        <v>0</v>
      </c>
      <c r="AU145" s="75">
        <f t="shared" si="260"/>
        <v>0</v>
      </c>
      <c r="AV145" s="75">
        <f t="shared" ref="AV145:AV148" si="269">SUM(AR145:AU145)</f>
        <v>38185</v>
      </c>
    </row>
    <row r="146" spans="1:48" x14ac:dyDescent="0.25">
      <c r="A146" s="32" t="s">
        <v>106</v>
      </c>
      <c r="B146" s="63">
        <f>10.5*B17</f>
        <v>10794</v>
      </c>
      <c r="C146" s="63"/>
      <c r="D146" s="63"/>
      <c r="E146" s="63"/>
      <c r="F146" s="75">
        <f t="shared" si="261"/>
        <v>10794</v>
      </c>
      <c r="H146" s="63">
        <f>10.5*H17</f>
        <v>10794</v>
      </c>
      <c r="I146" s="63"/>
      <c r="J146" s="63"/>
      <c r="K146" s="63"/>
      <c r="L146" s="75">
        <f t="shared" si="262"/>
        <v>10794</v>
      </c>
      <c r="N146" s="63">
        <f>10.5*N17</f>
        <v>26365.5</v>
      </c>
      <c r="O146" s="63"/>
      <c r="P146" s="63"/>
      <c r="Q146" s="63"/>
      <c r="R146" s="75">
        <f t="shared" si="263"/>
        <v>26365.5</v>
      </c>
      <c r="T146" s="63">
        <f>13.25*T17</f>
        <v>7155</v>
      </c>
      <c r="U146" s="63"/>
      <c r="V146" s="63"/>
      <c r="W146" s="63"/>
      <c r="X146" s="75">
        <f t="shared" si="264"/>
        <v>7155</v>
      </c>
      <c r="Y146" s="194"/>
      <c r="Z146" s="63">
        <f>10.5*Z17</f>
        <v>14290.5</v>
      </c>
      <c r="AA146" s="63"/>
      <c r="AB146" s="63"/>
      <c r="AC146" s="63"/>
      <c r="AD146" s="75">
        <f t="shared" si="265"/>
        <v>14290.5</v>
      </c>
      <c r="AE146" s="194"/>
      <c r="AF146" s="63">
        <f>13*AF17</f>
        <v>13351</v>
      </c>
      <c r="AG146" s="63"/>
      <c r="AH146" s="63"/>
      <c r="AI146" s="63"/>
      <c r="AJ146" s="75">
        <f t="shared" si="266"/>
        <v>13351</v>
      </c>
      <c r="AL146" s="63">
        <f>8*AL17</f>
        <v>0</v>
      </c>
      <c r="AM146" s="63"/>
      <c r="AN146" s="63"/>
      <c r="AO146" s="63"/>
      <c r="AP146" s="75">
        <f t="shared" si="267"/>
        <v>0</v>
      </c>
      <c r="AR146" s="75">
        <f t="shared" si="268"/>
        <v>82750</v>
      </c>
      <c r="AS146" s="75">
        <f t="shared" si="260"/>
        <v>0</v>
      </c>
      <c r="AT146" s="75">
        <f t="shared" si="260"/>
        <v>0</v>
      </c>
      <c r="AU146" s="75">
        <f t="shared" si="260"/>
        <v>0</v>
      </c>
      <c r="AV146" s="75">
        <f t="shared" si="269"/>
        <v>82750</v>
      </c>
    </row>
    <row r="147" spans="1:48" x14ac:dyDescent="0.25">
      <c r="A147" s="32" t="s">
        <v>107</v>
      </c>
      <c r="B147" s="63"/>
      <c r="C147" s="63"/>
      <c r="D147" s="63"/>
      <c r="E147" s="63"/>
      <c r="F147" s="75">
        <f t="shared" si="261"/>
        <v>0</v>
      </c>
      <c r="H147" s="63"/>
      <c r="I147" s="63"/>
      <c r="J147" s="63"/>
      <c r="K147" s="63"/>
      <c r="L147" s="75">
        <f t="shared" si="262"/>
        <v>0</v>
      </c>
      <c r="N147" s="63">
        <v>195000</v>
      </c>
      <c r="O147" s="63"/>
      <c r="P147" s="63"/>
      <c r="Q147" s="63"/>
      <c r="R147" s="75">
        <f t="shared" si="263"/>
        <v>195000</v>
      </c>
      <c r="T147" s="63"/>
      <c r="U147" s="63"/>
      <c r="V147" s="63"/>
      <c r="W147" s="63"/>
      <c r="X147" s="75">
        <f t="shared" si="264"/>
        <v>0</v>
      </c>
      <c r="Y147" s="194"/>
      <c r="Z147" s="63"/>
      <c r="AA147" s="63"/>
      <c r="AB147" s="63"/>
      <c r="AC147" s="63"/>
      <c r="AD147" s="75">
        <f t="shared" si="265"/>
        <v>0</v>
      </c>
      <c r="AE147" s="194"/>
      <c r="AF147" s="63"/>
      <c r="AG147" s="63"/>
      <c r="AH147" s="63"/>
      <c r="AI147" s="63"/>
      <c r="AJ147" s="75">
        <f t="shared" si="266"/>
        <v>0</v>
      </c>
      <c r="AL147" s="63"/>
      <c r="AM147" s="63"/>
      <c r="AN147" s="63"/>
      <c r="AO147" s="63"/>
      <c r="AP147" s="75">
        <f t="shared" si="267"/>
        <v>0</v>
      </c>
      <c r="AR147" s="75">
        <f t="shared" si="268"/>
        <v>195000</v>
      </c>
      <c r="AS147" s="75">
        <f t="shared" si="260"/>
        <v>0</v>
      </c>
      <c r="AT147" s="75">
        <f t="shared" si="260"/>
        <v>0</v>
      </c>
      <c r="AU147" s="75">
        <f t="shared" si="260"/>
        <v>0</v>
      </c>
      <c r="AV147" s="75">
        <f t="shared" si="269"/>
        <v>195000</v>
      </c>
    </row>
    <row r="148" spans="1:48" x14ac:dyDescent="0.25">
      <c r="A148" s="33" t="s">
        <v>108</v>
      </c>
      <c r="B148" s="64">
        <f>60*B17</f>
        <v>61680</v>
      </c>
      <c r="C148" s="64"/>
      <c r="D148" s="64"/>
      <c r="E148" s="64"/>
      <c r="F148" s="75">
        <f t="shared" si="261"/>
        <v>61680</v>
      </c>
      <c r="H148" s="64">
        <f>60*H17</f>
        <v>61680</v>
      </c>
      <c r="I148" s="64"/>
      <c r="J148" s="64"/>
      <c r="K148" s="64"/>
      <c r="L148" s="75">
        <f t="shared" si="262"/>
        <v>61680</v>
      </c>
      <c r="N148" s="64">
        <f>60*N17</f>
        <v>150660</v>
      </c>
      <c r="O148" s="64"/>
      <c r="P148" s="64"/>
      <c r="Q148" s="64"/>
      <c r="R148" s="75">
        <f t="shared" si="263"/>
        <v>150660</v>
      </c>
      <c r="T148" s="64">
        <f>64*T17</f>
        <v>34560</v>
      </c>
      <c r="U148" s="64"/>
      <c r="V148" s="64"/>
      <c r="W148" s="64"/>
      <c r="X148" s="75">
        <f t="shared" si="264"/>
        <v>34560</v>
      </c>
      <c r="Y148" s="194"/>
      <c r="Z148" s="64">
        <f>60*Z17</f>
        <v>81660</v>
      </c>
      <c r="AA148" s="64"/>
      <c r="AB148" s="64"/>
      <c r="AC148" s="64"/>
      <c r="AD148" s="75">
        <f t="shared" si="265"/>
        <v>81660</v>
      </c>
      <c r="AE148" s="194"/>
      <c r="AF148" s="64">
        <f>63*AF17</f>
        <v>64701</v>
      </c>
      <c r="AG148" s="64"/>
      <c r="AH148" s="64"/>
      <c r="AI148" s="64"/>
      <c r="AJ148" s="75">
        <f t="shared" si="266"/>
        <v>64701</v>
      </c>
      <c r="AL148" s="64">
        <f>50*AL17</f>
        <v>0</v>
      </c>
      <c r="AM148" s="64"/>
      <c r="AN148" s="64"/>
      <c r="AO148" s="64"/>
      <c r="AP148" s="75">
        <f t="shared" si="267"/>
        <v>0</v>
      </c>
      <c r="AR148" s="75">
        <f t="shared" si="268"/>
        <v>454941</v>
      </c>
      <c r="AS148" s="75">
        <f t="shared" si="260"/>
        <v>0</v>
      </c>
      <c r="AT148" s="75">
        <f t="shared" si="260"/>
        <v>0</v>
      </c>
      <c r="AU148" s="75">
        <f t="shared" si="260"/>
        <v>0</v>
      </c>
      <c r="AV148" s="75">
        <f t="shared" si="269"/>
        <v>454941</v>
      </c>
    </row>
    <row r="149" spans="1:48" x14ac:dyDescent="0.25">
      <c r="A149" s="34"/>
      <c r="B149" s="76">
        <f>SUM(B144:B148)</f>
        <v>113080</v>
      </c>
      <c r="C149" s="76">
        <f t="shared" ref="C149:F149" si="270">SUM(C144:C148)</f>
        <v>0</v>
      </c>
      <c r="D149" s="76">
        <f t="shared" si="270"/>
        <v>0</v>
      </c>
      <c r="E149" s="76">
        <f t="shared" si="270"/>
        <v>0</v>
      </c>
      <c r="F149" s="76">
        <f t="shared" si="270"/>
        <v>113080</v>
      </c>
      <c r="H149" s="76">
        <f>SUM(H144:H148)</f>
        <v>113080</v>
      </c>
      <c r="I149" s="76">
        <f t="shared" ref="I149:L149" si="271">SUM(I144:I148)</f>
        <v>0</v>
      </c>
      <c r="J149" s="76">
        <f t="shared" si="271"/>
        <v>0</v>
      </c>
      <c r="K149" s="76">
        <f t="shared" si="271"/>
        <v>0</v>
      </c>
      <c r="L149" s="76">
        <f t="shared" si="271"/>
        <v>113080</v>
      </c>
      <c r="N149" s="76">
        <f>SUM(N144:N148)</f>
        <v>471210</v>
      </c>
      <c r="O149" s="76">
        <f t="shared" ref="O149:R149" si="272">SUM(O144:O148)</f>
        <v>0</v>
      </c>
      <c r="P149" s="76">
        <f t="shared" si="272"/>
        <v>0</v>
      </c>
      <c r="Q149" s="76">
        <f t="shared" si="272"/>
        <v>0</v>
      </c>
      <c r="R149" s="76">
        <f t="shared" si="272"/>
        <v>471210</v>
      </c>
      <c r="T149" s="76">
        <f>SUM(T144:T148)</f>
        <v>66015</v>
      </c>
      <c r="U149" s="76">
        <f t="shared" ref="U149:X149" si="273">SUM(U144:U148)</f>
        <v>0</v>
      </c>
      <c r="V149" s="76">
        <f t="shared" si="273"/>
        <v>0</v>
      </c>
      <c r="W149" s="76">
        <f t="shared" si="273"/>
        <v>0</v>
      </c>
      <c r="X149" s="76">
        <f t="shared" si="273"/>
        <v>66015</v>
      </c>
      <c r="Y149" s="199"/>
      <c r="Z149" s="76">
        <f>SUM(Z144:Z148)</f>
        <v>149710</v>
      </c>
      <c r="AA149" s="76">
        <f t="shared" ref="AA149:AD149" si="274">SUM(AA144:AA148)</f>
        <v>0</v>
      </c>
      <c r="AB149" s="76">
        <f t="shared" si="274"/>
        <v>0</v>
      </c>
      <c r="AC149" s="76">
        <f t="shared" si="274"/>
        <v>0</v>
      </c>
      <c r="AD149" s="76">
        <f t="shared" si="274"/>
        <v>149710</v>
      </c>
      <c r="AE149" s="199"/>
      <c r="AF149" s="76">
        <f>SUM(AF144:AF148)</f>
        <v>123240</v>
      </c>
      <c r="AG149" s="76">
        <f t="shared" ref="AG149:AJ149" si="275">SUM(AG144:AG148)</f>
        <v>0</v>
      </c>
      <c r="AH149" s="76">
        <f t="shared" si="275"/>
        <v>0</v>
      </c>
      <c r="AI149" s="76">
        <f t="shared" si="275"/>
        <v>0</v>
      </c>
      <c r="AJ149" s="76">
        <f t="shared" si="275"/>
        <v>123240</v>
      </c>
      <c r="AL149" s="76">
        <f>SUM(AL144:AL148)</f>
        <v>7300</v>
      </c>
      <c r="AM149" s="76">
        <f t="shared" ref="AM149:AP149" si="276">SUM(AM144:AM148)</f>
        <v>0</v>
      </c>
      <c r="AN149" s="76">
        <f t="shared" si="276"/>
        <v>0</v>
      </c>
      <c r="AO149" s="76">
        <f t="shared" si="276"/>
        <v>0</v>
      </c>
      <c r="AP149" s="76">
        <f t="shared" si="276"/>
        <v>7300</v>
      </c>
      <c r="AR149" s="76">
        <f>SUM(AR144:AR148)</f>
        <v>1043635</v>
      </c>
      <c r="AS149" s="76">
        <f t="shared" ref="AS149:AV149" si="277">SUM(AS144:AS148)</f>
        <v>0</v>
      </c>
      <c r="AT149" s="76">
        <f t="shared" si="277"/>
        <v>0</v>
      </c>
      <c r="AU149" s="76">
        <f t="shared" si="277"/>
        <v>0</v>
      </c>
      <c r="AV149" s="76">
        <f t="shared" si="277"/>
        <v>1043635</v>
      </c>
    </row>
    <row r="150" spans="1:48" x14ac:dyDescent="0.25">
      <c r="B150" s="77"/>
      <c r="C150" s="77"/>
      <c r="D150" s="77"/>
      <c r="E150" s="77"/>
      <c r="F150" s="77"/>
      <c r="H150" s="77"/>
      <c r="I150" s="77"/>
      <c r="J150" s="77"/>
      <c r="K150" s="77"/>
      <c r="L150" s="77"/>
      <c r="N150" s="77"/>
      <c r="O150" s="77"/>
      <c r="P150" s="77"/>
      <c r="Q150" s="77"/>
      <c r="R150" s="77"/>
      <c r="T150" s="77"/>
      <c r="U150" s="77"/>
      <c r="V150" s="77"/>
      <c r="W150" s="77"/>
      <c r="X150" s="77"/>
      <c r="Y150" s="79"/>
      <c r="Z150" s="77"/>
      <c r="AA150" s="77"/>
      <c r="AB150" s="77"/>
      <c r="AC150" s="77"/>
      <c r="AD150" s="77"/>
      <c r="AE150" s="79"/>
      <c r="AF150" s="77"/>
      <c r="AG150" s="77"/>
      <c r="AH150" s="77"/>
      <c r="AI150" s="77"/>
      <c r="AJ150" s="77"/>
      <c r="AL150" s="77"/>
      <c r="AM150" s="77"/>
      <c r="AN150" s="77"/>
      <c r="AO150" s="77"/>
      <c r="AP150" s="77"/>
      <c r="AR150" s="77"/>
      <c r="AS150" s="77"/>
      <c r="AT150" s="77"/>
      <c r="AU150" s="77"/>
      <c r="AV150" s="77"/>
    </row>
    <row r="151" spans="1:48" x14ac:dyDescent="0.25">
      <c r="A151" s="28"/>
      <c r="B151" s="78" t="s">
        <v>157</v>
      </c>
      <c r="C151" s="78" t="s">
        <v>158</v>
      </c>
      <c r="D151" s="78" t="s">
        <v>159</v>
      </c>
      <c r="E151" s="78" t="str">
        <f>E134</f>
        <v>Other</v>
      </c>
      <c r="F151" s="78" t="str">
        <f>F134</f>
        <v>FY31- Mtn</v>
      </c>
      <c r="H151" s="78" t="s">
        <v>157</v>
      </c>
      <c r="I151" s="78" t="s">
        <v>158</v>
      </c>
      <c r="J151" s="78" t="s">
        <v>159</v>
      </c>
      <c r="K151" s="78" t="str">
        <f>K134</f>
        <v>Other</v>
      </c>
      <c r="L151" s="78" t="str">
        <f>L134</f>
        <v>FY31- Bon</v>
      </c>
      <c r="N151" s="78" t="s">
        <v>157</v>
      </c>
      <c r="O151" s="78" t="s">
        <v>158</v>
      </c>
      <c r="P151" s="78" t="s">
        <v>159</v>
      </c>
      <c r="Q151" s="78" t="str">
        <f>Q134</f>
        <v>Other</v>
      </c>
      <c r="R151" s="78" t="str">
        <f>R134</f>
        <v>FY31- East</v>
      </c>
      <c r="T151" s="78" t="s">
        <v>157</v>
      </c>
      <c r="U151" s="78" t="s">
        <v>158</v>
      </c>
      <c r="V151" s="78" t="s">
        <v>159</v>
      </c>
      <c r="W151" s="78" t="str">
        <f>W134</f>
        <v>Other</v>
      </c>
      <c r="X151" s="78" t="str">
        <f>X134</f>
        <v>FY31- Cactus</v>
      </c>
      <c r="Y151" s="201"/>
      <c r="Z151" s="78" t="s">
        <v>157</v>
      </c>
      <c r="AA151" s="78" t="s">
        <v>158</v>
      </c>
      <c r="AB151" s="78" t="s">
        <v>159</v>
      </c>
      <c r="AC151" s="78" t="str">
        <f>AC134</f>
        <v>Other</v>
      </c>
      <c r="AD151" s="78" t="str">
        <f>AD134</f>
        <v>FY31- Sahara</v>
      </c>
      <c r="AE151" s="201"/>
      <c r="AF151" s="78" t="s">
        <v>157</v>
      </c>
      <c r="AG151" s="78" t="s">
        <v>158</v>
      </c>
      <c r="AH151" s="78" t="s">
        <v>159</v>
      </c>
      <c r="AI151" s="78" t="str">
        <f>AI134</f>
        <v>Other</v>
      </c>
      <c r="AJ151" s="78" t="str">
        <f>AJ134</f>
        <v>FY31- VV</v>
      </c>
      <c r="AL151" s="78" t="s">
        <v>157</v>
      </c>
      <c r="AM151" s="78" t="s">
        <v>158</v>
      </c>
      <c r="AN151" s="78" t="s">
        <v>159</v>
      </c>
      <c r="AO151" s="78" t="str">
        <f>AO134</f>
        <v>Grant</v>
      </c>
      <c r="AP151" s="78" t="str">
        <f>AP134</f>
        <v>FY31 - Central</v>
      </c>
      <c r="AR151" s="78" t="s">
        <v>157</v>
      </c>
      <c r="AS151" s="78" t="s">
        <v>158</v>
      </c>
      <c r="AT151" s="78" t="s">
        <v>159</v>
      </c>
      <c r="AU151" s="78" t="str">
        <f>AU134</f>
        <v>Other</v>
      </c>
      <c r="AV151" s="78" t="str">
        <f>AV134</f>
        <v>FY31- Sys</v>
      </c>
    </row>
    <row r="152" spans="1:48" x14ac:dyDescent="0.25">
      <c r="A152" s="35" t="s">
        <v>109</v>
      </c>
      <c r="B152" s="75">
        <f>(6500*2)*1.02*1.02*1.03*1.02*1.03</f>
        <v>14635.862373600001</v>
      </c>
      <c r="C152" s="75"/>
      <c r="D152" s="75"/>
      <c r="E152" s="75"/>
      <c r="F152" s="75">
        <f>SUM(B152:E152)</f>
        <v>14635.862373600001</v>
      </c>
      <c r="H152" s="75">
        <f>(6500*2)*1.02*1.02*1.03*1.02*1.03</f>
        <v>14635.862373600001</v>
      </c>
      <c r="I152" s="75"/>
      <c r="J152" s="75"/>
      <c r="K152" s="75"/>
      <c r="L152" s="75">
        <f>SUM(H152:K152)</f>
        <v>14635.862373600001</v>
      </c>
      <c r="N152" s="75">
        <f>((6500*3)+5000)*1.03*1.03*1.03*1.03*1.02</f>
        <v>28126.4651619</v>
      </c>
      <c r="O152" s="75"/>
      <c r="P152" s="75"/>
      <c r="Q152" s="75"/>
      <c r="R152" s="75">
        <f>SUM(N152:Q152)</f>
        <v>28126.4651619</v>
      </c>
      <c r="T152" s="60">
        <v>0</v>
      </c>
      <c r="U152" s="75"/>
      <c r="V152" s="75"/>
      <c r="W152" s="75"/>
      <c r="X152" s="75">
        <f>SUM(T152:W152)</f>
        <v>0</v>
      </c>
      <c r="Y152" s="194"/>
      <c r="Z152" s="60">
        <f>(6500+6500+6500)*1.03*1.03*1.05*1.02</f>
        <v>22156.366050000001</v>
      </c>
      <c r="AA152" s="75"/>
      <c r="AB152" s="75"/>
      <c r="AC152" s="75"/>
      <c r="AD152" s="75">
        <f>SUM(Z152:AC152)</f>
        <v>22156.366050000001</v>
      </c>
      <c r="AE152" s="194"/>
      <c r="AF152" s="60">
        <v>0</v>
      </c>
      <c r="AG152" s="75"/>
      <c r="AH152" s="75"/>
      <c r="AI152" s="75"/>
      <c r="AJ152" s="75">
        <f>SUM(AF152:AI152)</f>
        <v>0</v>
      </c>
      <c r="AL152" s="60">
        <v>0</v>
      </c>
      <c r="AM152" s="75"/>
      <c r="AN152" s="75"/>
      <c r="AO152" s="75">
        <v>6500</v>
      </c>
      <c r="AP152" s="75">
        <f>SUM(AL152:AO152)</f>
        <v>6500</v>
      </c>
      <c r="AR152" s="60">
        <f>B152+H152+N152+T152+AL152+AF152+Z152</f>
        <v>79554.555959100006</v>
      </c>
      <c r="AS152" s="60">
        <f t="shared" ref="AS152:AU158" si="278">C152+I152+O152+U152+AM152+AG152+AA152</f>
        <v>0</v>
      </c>
      <c r="AT152" s="60">
        <f t="shared" si="278"/>
        <v>0</v>
      </c>
      <c r="AU152" s="60">
        <f t="shared" si="278"/>
        <v>6500</v>
      </c>
      <c r="AV152" s="75">
        <f>SUM(AR152:AU152)</f>
        <v>86054.555959100006</v>
      </c>
    </row>
    <row r="153" spans="1:48" x14ac:dyDescent="0.25">
      <c r="A153" s="32" t="s">
        <v>110</v>
      </c>
      <c r="B153" s="63"/>
      <c r="C153" s="63">
        <f>(88*B17)</f>
        <v>90464</v>
      </c>
      <c r="D153" s="63"/>
      <c r="E153" s="63"/>
      <c r="F153" s="75">
        <f t="shared" ref="F153:F158" si="279">SUM(B153:E153)</f>
        <v>90464</v>
      </c>
      <c r="H153" s="63"/>
      <c r="I153" s="63">
        <f>(88*H17)</f>
        <v>90464</v>
      </c>
      <c r="J153" s="63"/>
      <c r="K153" s="63"/>
      <c r="L153" s="75">
        <f t="shared" ref="L153:L158" si="280">SUM(H153:K153)</f>
        <v>90464</v>
      </c>
      <c r="N153" s="63"/>
      <c r="O153" s="63">
        <f>(88*N17)</f>
        <v>220968</v>
      </c>
      <c r="P153" s="63"/>
      <c r="Q153" s="63"/>
      <c r="R153" s="75">
        <f t="shared" ref="R153:R158" si="281">SUM(N153:Q153)</f>
        <v>220968</v>
      </c>
      <c r="T153" s="63"/>
      <c r="U153" s="61">
        <f>(255*T17)</f>
        <v>137700</v>
      </c>
      <c r="V153" s="63"/>
      <c r="W153" s="63"/>
      <c r="X153" s="75">
        <f t="shared" ref="X153:X158" si="282">SUM(T153:W153)</f>
        <v>137700</v>
      </c>
      <c r="Y153" s="194"/>
      <c r="Z153" s="63"/>
      <c r="AA153" s="61">
        <f>(245*Z17)</f>
        <v>333445</v>
      </c>
      <c r="AB153" s="63"/>
      <c r="AC153" s="63"/>
      <c r="AD153" s="75">
        <f t="shared" ref="AD153:AD158" si="283">SUM(Z153:AC153)</f>
        <v>333445</v>
      </c>
      <c r="AE153" s="194"/>
      <c r="AF153" s="63"/>
      <c r="AG153" s="61">
        <f>(255*AF17)</f>
        <v>261885</v>
      </c>
      <c r="AH153" s="63"/>
      <c r="AI153" s="63"/>
      <c r="AJ153" s="75">
        <f t="shared" ref="AJ153:AJ158" si="284">SUM(AF153:AI153)</f>
        <v>261885</v>
      </c>
      <c r="AL153" s="63"/>
      <c r="AM153" s="63"/>
      <c r="AN153" s="63"/>
      <c r="AO153" s="63"/>
      <c r="AP153" s="75">
        <f t="shared" ref="AP153:AP158" si="285">SUM(AL153:AO153)</f>
        <v>0</v>
      </c>
      <c r="AR153" s="60">
        <f t="shared" ref="AR153:AR158" si="286">B153+H153+N153+T153+AL153+AF153+Z153</f>
        <v>0</v>
      </c>
      <c r="AS153" s="60">
        <f t="shared" si="278"/>
        <v>1134926</v>
      </c>
      <c r="AT153" s="60">
        <f t="shared" si="278"/>
        <v>0</v>
      </c>
      <c r="AU153" s="60">
        <f t="shared" si="278"/>
        <v>0</v>
      </c>
      <c r="AV153" s="75">
        <f t="shared" ref="AV153:AV158" si="287">SUM(AR153:AU153)</f>
        <v>1134926</v>
      </c>
    </row>
    <row r="154" spans="1:48" x14ac:dyDescent="0.25">
      <c r="A154" s="32" t="s">
        <v>111</v>
      </c>
      <c r="B154" s="63">
        <f>(230*11*B36)-B124</f>
        <v>41850</v>
      </c>
      <c r="C154" s="63">
        <f>(230*11*C36)-C124</f>
        <v>12650</v>
      </c>
      <c r="D154" s="63">
        <f>(195*11*D36)-D124</f>
        <v>0</v>
      </c>
      <c r="E154" s="63">
        <f>(195*11*E36)-E124</f>
        <v>0</v>
      </c>
      <c r="F154" s="75">
        <f t="shared" si="279"/>
        <v>54500</v>
      </c>
      <c r="H154" s="63">
        <f>(230*11*H36)-H124</f>
        <v>77850</v>
      </c>
      <c r="I154" s="63">
        <f>(230*11*I36)-I124</f>
        <v>10120</v>
      </c>
      <c r="J154" s="63">
        <f>(195*11*J36)-J124</f>
        <v>0</v>
      </c>
      <c r="K154" s="63">
        <f>(195*11*K36)-K124</f>
        <v>0</v>
      </c>
      <c r="L154" s="75">
        <f t="shared" si="280"/>
        <v>87970</v>
      </c>
      <c r="N154" s="63">
        <f>(230*11*N36)-N124</f>
        <v>150060</v>
      </c>
      <c r="O154" s="63">
        <f>(230*11*O36)-O124</f>
        <v>35420</v>
      </c>
      <c r="P154" s="63">
        <f>(195*11*P36)-P124</f>
        <v>0</v>
      </c>
      <c r="Q154" s="63">
        <f>(195*11*Q36)-Q124</f>
        <v>0</v>
      </c>
      <c r="R154" s="75">
        <f t="shared" si="281"/>
        <v>185480</v>
      </c>
      <c r="T154" s="63">
        <f>(220*11*T36)-T124</f>
        <v>55660</v>
      </c>
      <c r="U154" s="63">
        <f>(220*11*U36)-U124</f>
        <v>7260</v>
      </c>
      <c r="V154" s="63">
        <f>(195*11*V36)-V124</f>
        <v>0</v>
      </c>
      <c r="W154" s="63">
        <f>(195*11*W36)-W124</f>
        <v>0</v>
      </c>
      <c r="X154" s="75">
        <f t="shared" si="282"/>
        <v>62920</v>
      </c>
      <c r="Y154" s="194"/>
      <c r="Z154" s="63">
        <f>(230*11*Z36)-Z124</f>
        <v>139150</v>
      </c>
      <c r="AA154" s="63">
        <f>(230*11*AA36)-AA124</f>
        <v>17710</v>
      </c>
      <c r="AB154" s="63">
        <f>(195*11*AB36)-AB124</f>
        <v>0</v>
      </c>
      <c r="AC154" s="63">
        <f>(195*11*AC36)-AC124</f>
        <v>0</v>
      </c>
      <c r="AD154" s="75">
        <f t="shared" si="283"/>
        <v>156860</v>
      </c>
      <c r="AE154" s="194"/>
      <c r="AF154" s="63">
        <f>(215*11*AF36)-AF124</f>
        <v>99330</v>
      </c>
      <c r="AG154" s="63">
        <f>(215*11*AG36)-AG124</f>
        <v>11825</v>
      </c>
      <c r="AH154" s="63">
        <f>(195*11*AH36)-AH124</f>
        <v>0</v>
      </c>
      <c r="AI154" s="63">
        <f>(195*11*AI36)-AI124</f>
        <v>0</v>
      </c>
      <c r="AJ154" s="75">
        <f t="shared" si="284"/>
        <v>111155</v>
      </c>
      <c r="AL154" s="63"/>
      <c r="AM154" s="63"/>
      <c r="AN154" s="63"/>
      <c r="AO154" s="63"/>
      <c r="AP154" s="75">
        <f t="shared" si="285"/>
        <v>0</v>
      </c>
      <c r="AR154" s="60">
        <f t="shared" si="286"/>
        <v>563900</v>
      </c>
      <c r="AS154" s="60">
        <f t="shared" si="278"/>
        <v>94985</v>
      </c>
      <c r="AT154" s="60">
        <f t="shared" si="278"/>
        <v>0</v>
      </c>
      <c r="AU154" s="60">
        <f t="shared" si="278"/>
        <v>0</v>
      </c>
      <c r="AV154" s="75">
        <f t="shared" si="287"/>
        <v>658885</v>
      </c>
    </row>
    <row r="155" spans="1:48" x14ac:dyDescent="0.25">
      <c r="A155" s="32" t="s">
        <v>112</v>
      </c>
      <c r="B155" s="63"/>
      <c r="C155" s="63"/>
      <c r="D155" s="63"/>
      <c r="E155" s="63"/>
      <c r="F155" s="75">
        <f t="shared" si="279"/>
        <v>0</v>
      </c>
      <c r="H155" s="63"/>
      <c r="I155" s="63"/>
      <c r="J155" s="63"/>
      <c r="K155" s="63"/>
      <c r="L155" s="75">
        <f t="shared" si="280"/>
        <v>0</v>
      </c>
      <c r="N155" s="63"/>
      <c r="O155" s="63"/>
      <c r="P155" s="63"/>
      <c r="Q155" s="63"/>
      <c r="R155" s="75">
        <f t="shared" si="281"/>
        <v>0</v>
      </c>
      <c r="T155" s="63"/>
      <c r="U155" s="63"/>
      <c r="V155" s="63"/>
      <c r="W155" s="63"/>
      <c r="X155" s="75">
        <f t="shared" si="282"/>
        <v>0</v>
      </c>
      <c r="Y155" s="194"/>
      <c r="Z155" s="63"/>
      <c r="AA155" s="63"/>
      <c r="AB155" s="63"/>
      <c r="AC155" s="63"/>
      <c r="AD155" s="75">
        <f t="shared" si="283"/>
        <v>0</v>
      </c>
      <c r="AE155" s="194"/>
      <c r="AF155" s="63"/>
      <c r="AG155" s="63"/>
      <c r="AH155" s="63"/>
      <c r="AI155" s="63"/>
      <c r="AJ155" s="75">
        <f t="shared" si="284"/>
        <v>0</v>
      </c>
      <c r="AL155" s="63"/>
      <c r="AM155" s="63"/>
      <c r="AN155" s="63"/>
      <c r="AO155" s="63"/>
      <c r="AP155" s="75">
        <f t="shared" si="285"/>
        <v>0</v>
      </c>
      <c r="AR155" s="60">
        <f t="shared" si="286"/>
        <v>0</v>
      </c>
      <c r="AS155" s="60">
        <f t="shared" si="278"/>
        <v>0</v>
      </c>
      <c r="AT155" s="60">
        <f t="shared" si="278"/>
        <v>0</v>
      </c>
      <c r="AU155" s="60">
        <f t="shared" si="278"/>
        <v>0</v>
      </c>
      <c r="AV155" s="75">
        <f t="shared" si="287"/>
        <v>0</v>
      </c>
    </row>
    <row r="156" spans="1:48" x14ac:dyDescent="0.25">
      <c r="A156" s="32" t="s">
        <v>113</v>
      </c>
      <c r="B156" s="63">
        <f>B68*0.005</f>
        <v>52042.5</v>
      </c>
      <c r="C156" s="63"/>
      <c r="D156" s="63"/>
      <c r="E156" s="63"/>
      <c r="F156" s="75">
        <f t="shared" si="279"/>
        <v>52042.5</v>
      </c>
      <c r="H156" s="63">
        <f>H68*0.005</f>
        <v>52042.5</v>
      </c>
      <c r="I156" s="63"/>
      <c r="J156" s="63"/>
      <c r="K156" s="63"/>
      <c r="L156" s="75">
        <f t="shared" si="280"/>
        <v>52042.5</v>
      </c>
      <c r="N156" s="63">
        <f>N68*0.005</f>
        <v>127119.375</v>
      </c>
      <c r="O156" s="63"/>
      <c r="P156" s="63"/>
      <c r="Q156" s="63"/>
      <c r="R156" s="75">
        <f t="shared" si="281"/>
        <v>127119.375</v>
      </c>
      <c r="T156" s="63">
        <f>T68*0.005</f>
        <v>27337.5</v>
      </c>
      <c r="U156" s="63"/>
      <c r="V156" s="63"/>
      <c r="W156" s="63"/>
      <c r="X156" s="75">
        <f t="shared" si="282"/>
        <v>27337.5</v>
      </c>
      <c r="Y156" s="194"/>
      <c r="Z156" s="63">
        <f>Z68*0.005</f>
        <v>68900.625</v>
      </c>
      <c r="AA156" s="63"/>
      <c r="AB156" s="63"/>
      <c r="AC156" s="63"/>
      <c r="AD156" s="75">
        <f t="shared" si="283"/>
        <v>68900.625</v>
      </c>
      <c r="AE156" s="194"/>
      <c r="AF156" s="63">
        <f>AF68*0.005</f>
        <v>51991.875</v>
      </c>
      <c r="AG156" s="63"/>
      <c r="AH156" s="63"/>
      <c r="AI156" s="63"/>
      <c r="AJ156" s="75">
        <f t="shared" si="284"/>
        <v>51991.875</v>
      </c>
      <c r="AL156" s="63"/>
      <c r="AM156" s="63"/>
      <c r="AN156" s="63"/>
      <c r="AO156" s="63"/>
      <c r="AP156" s="75">
        <f t="shared" si="285"/>
        <v>0</v>
      </c>
      <c r="AR156" s="60">
        <f t="shared" si="286"/>
        <v>379434.375</v>
      </c>
      <c r="AS156" s="60">
        <f t="shared" si="278"/>
        <v>0</v>
      </c>
      <c r="AT156" s="60">
        <f t="shared" si="278"/>
        <v>0</v>
      </c>
      <c r="AU156" s="60">
        <f t="shared" si="278"/>
        <v>0</v>
      </c>
      <c r="AV156" s="75">
        <f t="shared" si="287"/>
        <v>379434.375</v>
      </c>
    </row>
    <row r="157" spans="1:48" x14ac:dyDescent="0.25">
      <c r="A157" s="32" t="s">
        <v>114</v>
      </c>
      <c r="B157" s="63">
        <f>(B68*0.005)</f>
        <v>52042.5</v>
      </c>
      <c r="C157" s="63"/>
      <c r="D157" s="63"/>
      <c r="E157" s="63"/>
      <c r="F157" s="75">
        <f t="shared" si="279"/>
        <v>52042.5</v>
      </c>
      <c r="H157" s="63">
        <f>(H68*0.005)</f>
        <v>52042.5</v>
      </c>
      <c r="I157" s="63"/>
      <c r="J157" s="63"/>
      <c r="K157" s="63"/>
      <c r="L157" s="75">
        <f t="shared" si="280"/>
        <v>52042.5</v>
      </c>
      <c r="N157" s="63">
        <f>(N68*0.005)</f>
        <v>127119.375</v>
      </c>
      <c r="O157" s="63"/>
      <c r="P157" s="63"/>
      <c r="Q157" s="63"/>
      <c r="R157" s="75">
        <f t="shared" si="281"/>
        <v>127119.375</v>
      </c>
      <c r="T157" s="63">
        <f>(T68*0.005)</f>
        <v>27337.5</v>
      </c>
      <c r="U157" s="63"/>
      <c r="V157" s="63"/>
      <c r="W157" s="63"/>
      <c r="X157" s="75">
        <f t="shared" si="282"/>
        <v>27337.5</v>
      </c>
      <c r="Y157" s="194"/>
      <c r="Z157" s="63">
        <f>(Z68*0.005)</f>
        <v>68900.625</v>
      </c>
      <c r="AA157" s="63"/>
      <c r="AB157" s="63"/>
      <c r="AC157" s="63"/>
      <c r="AD157" s="75">
        <f t="shared" si="283"/>
        <v>68900.625</v>
      </c>
      <c r="AE157" s="194"/>
      <c r="AF157" s="63">
        <f>(AF68*0.005)</f>
        <v>51991.875</v>
      </c>
      <c r="AG157" s="63"/>
      <c r="AH157" s="63"/>
      <c r="AI157" s="63"/>
      <c r="AJ157" s="75">
        <f t="shared" si="284"/>
        <v>51991.875</v>
      </c>
      <c r="AL157" s="63"/>
      <c r="AM157" s="63"/>
      <c r="AN157" s="63"/>
      <c r="AO157" s="63"/>
      <c r="AP157" s="75">
        <f t="shared" si="285"/>
        <v>0</v>
      </c>
      <c r="AR157" s="60">
        <f t="shared" si="286"/>
        <v>379434.375</v>
      </c>
      <c r="AS157" s="60">
        <f t="shared" si="278"/>
        <v>0</v>
      </c>
      <c r="AT157" s="60">
        <f t="shared" si="278"/>
        <v>0</v>
      </c>
      <c r="AU157" s="60">
        <f t="shared" si="278"/>
        <v>0</v>
      </c>
      <c r="AV157" s="75">
        <f t="shared" si="287"/>
        <v>379434.375</v>
      </c>
    </row>
    <row r="158" spans="1:48" x14ac:dyDescent="0.25">
      <c r="A158" s="33" t="s">
        <v>115</v>
      </c>
      <c r="B158" s="64"/>
      <c r="C158" s="64"/>
      <c r="D158" s="64"/>
      <c r="E158" s="64"/>
      <c r="F158" s="75">
        <f t="shared" si="279"/>
        <v>0</v>
      </c>
      <c r="H158" s="64"/>
      <c r="I158" s="64"/>
      <c r="J158" s="64"/>
      <c r="K158" s="64"/>
      <c r="L158" s="75">
        <f t="shared" si="280"/>
        <v>0</v>
      </c>
      <c r="N158" s="64"/>
      <c r="O158" s="64"/>
      <c r="P158" s="64"/>
      <c r="Q158" s="64"/>
      <c r="R158" s="75">
        <f t="shared" si="281"/>
        <v>0</v>
      </c>
      <c r="T158" s="64"/>
      <c r="U158" s="64"/>
      <c r="V158" s="64"/>
      <c r="W158" s="64"/>
      <c r="X158" s="75">
        <f t="shared" si="282"/>
        <v>0</v>
      </c>
      <c r="Y158" s="194"/>
      <c r="Z158" s="64"/>
      <c r="AA158" s="64"/>
      <c r="AB158" s="64"/>
      <c r="AC158" s="64"/>
      <c r="AD158" s="75">
        <f t="shared" si="283"/>
        <v>0</v>
      </c>
      <c r="AE158" s="194"/>
      <c r="AF158" s="64"/>
      <c r="AG158" s="64"/>
      <c r="AH158" s="64"/>
      <c r="AI158" s="64"/>
      <c r="AJ158" s="75">
        <f t="shared" si="284"/>
        <v>0</v>
      </c>
      <c r="AL158" s="64"/>
      <c r="AM158" s="64"/>
      <c r="AN158" s="64"/>
      <c r="AO158" s="64"/>
      <c r="AP158" s="75">
        <f t="shared" si="285"/>
        <v>0</v>
      </c>
      <c r="AR158" s="60">
        <f t="shared" si="286"/>
        <v>0</v>
      </c>
      <c r="AS158" s="60">
        <f t="shared" si="278"/>
        <v>0</v>
      </c>
      <c r="AT158" s="60">
        <f t="shared" si="278"/>
        <v>0</v>
      </c>
      <c r="AU158" s="60">
        <f t="shared" si="278"/>
        <v>0</v>
      </c>
      <c r="AV158" s="75">
        <f t="shared" si="287"/>
        <v>0</v>
      </c>
    </row>
    <row r="159" spans="1:48" x14ac:dyDescent="0.25">
      <c r="A159" s="34"/>
      <c r="B159" s="76">
        <f>SUM(B152:B158)</f>
        <v>160570.86237360002</v>
      </c>
      <c r="C159" s="76">
        <f t="shared" ref="C159:F159" si="288">SUM(C152:C158)</f>
        <v>103114</v>
      </c>
      <c r="D159" s="76">
        <f t="shared" si="288"/>
        <v>0</v>
      </c>
      <c r="E159" s="76">
        <f t="shared" si="288"/>
        <v>0</v>
      </c>
      <c r="F159" s="76">
        <f t="shared" si="288"/>
        <v>263684.86237360002</v>
      </c>
      <c r="H159" s="76">
        <f>SUM(H152:H158)</f>
        <v>196570.86237360002</v>
      </c>
      <c r="I159" s="76">
        <f t="shared" ref="I159:L159" si="289">SUM(I152:I158)</f>
        <v>100584</v>
      </c>
      <c r="J159" s="76">
        <f t="shared" si="289"/>
        <v>0</v>
      </c>
      <c r="K159" s="76">
        <f t="shared" si="289"/>
        <v>0</v>
      </c>
      <c r="L159" s="76">
        <f t="shared" si="289"/>
        <v>297154.86237360002</v>
      </c>
      <c r="N159" s="76">
        <f>SUM(N152:N158)</f>
        <v>432425.21516190004</v>
      </c>
      <c r="O159" s="76">
        <f t="shared" ref="O159:R159" si="290">SUM(O152:O158)</f>
        <v>256388</v>
      </c>
      <c r="P159" s="76">
        <f t="shared" si="290"/>
        <v>0</v>
      </c>
      <c r="Q159" s="76">
        <f t="shared" si="290"/>
        <v>0</v>
      </c>
      <c r="R159" s="76">
        <f t="shared" si="290"/>
        <v>688813.21516190004</v>
      </c>
      <c r="T159" s="76">
        <f t="shared" ref="T159:X159" si="291">SUM(T152:T158)</f>
        <v>110335</v>
      </c>
      <c r="U159" s="76">
        <f t="shared" si="291"/>
        <v>144960</v>
      </c>
      <c r="V159" s="76">
        <f t="shared" si="291"/>
        <v>0</v>
      </c>
      <c r="W159" s="76">
        <f t="shared" si="291"/>
        <v>0</v>
      </c>
      <c r="X159" s="76">
        <f t="shared" si="291"/>
        <v>255295</v>
      </c>
      <c r="Y159" s="199"/>
      <c r="Z159" s="76">
        <f t="shared" ref="Z159:AD159" si="292">SUM(Z152:Z158)</f>
        <v>299107.61605000001</v>
      </c>
      <c r="AA159" s="76">
        <f t="shared" si="292"/>
        <v>351155</v>
      </c>
      <c r="AB159" s="76">
        <f t="shared" si="292"/>
        <v>0</v>
      </c>
      <c r="AC159" s="76">
        <f t="shared" si="292"/>
        <v>0</v>
      </c>
      <c r="AD159" s="76">
        <f t="shared" si="292"/>
        <v>650262.61605000007</v>
      </c>
      <c r="AE159" s="199"/>
      <c r="AF159" s="76">
        <f t="shared" ref="AF159:AJ159" si="293">SUM(AF152:AF158)</f>
        <v>203313.75</v>
      </c>
      <c r="AG159" s="76">
        <f t="shared" si="293"/>
        <v>273710</v>
      </c>
      <c r="AH159" s="76">
        <f t="shared" si="293"/>
        <v>0</v>
      </c>
      <c r="AI159" s="76">
        <f t="shared" si="293"/>
        <v>0</v>
      </c>
      <c r="AJ159" s="76">
        <f t="shared" si="293"/>
        <v>477023.75</v>
      </c>
      <c r="AL159" s="76">
        <f>SUM(AL152:AL158)</f>
        <v>0</v>
      </c>
      <c r="AM159" s="76">
        <f t="shared" ref="AM159:AP159" si="294">SUM(AM152:AM158)</f>
        <v>0</v>
      </c>
      <c r="AN159" s="76">
        <f t="shared" si="294"/>
        <v>0</v>
      </c>
      <c r="AO159" s="76">
        <f t="shared" si="294"/>
        <v>6500</v>
      </c>
      <c r="AP159" s="76">
        <f t="shared" si="294"/>
        <v>6500</v>
      </c>
      <c r="AR159" s="76">
        <f>SUM(AR152:AR158)</f>
        <v>1402323.3059590999</v>
      </c>
      <c r="AS159" s="76">
        <f t="shared" ref="AS159:AV159" si="295">SUM(AS152:AS158)</f>
        <v>1229911</v>
      </c>
      <c r="AT159" s="76">
        <f t="shared" si="295"/>
        <v>0</v>
      </c>
      <c r="AU159" s="76">
        <f t="shared" si="295"/>
        <v>6500</v>
      </c>
      <c r="AV159" s="76">
        <f t="shared" si="295"/>
        <v>2638734.3059590999</v>
      </c>
    </row>
    <row r="160" spans="1:48" x14ac:dyDescent="0.25">
      <c r="B160" s="77"/>
      <c r="C160" s="77"/>
      <c r="D160" s="77"/>
      <c r="E160" s="77"/>
      <c r="F160" s="77"/>
      <c r="H160" s="77"/>
      <c r="I160" s="77"/>
      <c r="J160" s="77"/>
      <c r="K160" s="77"/>
      <c r="L160" s="77"/>
      <c r="N160" s="77"/>
      <c r="O160" s="77"/>
      <c r="P160" s="77"/>
      <c r="Q160" s="77"/>
      <c r="R160" s="77"/>
      <c r="T160" s="77"/>
      <c r="U160" s="77"/>
      <c r="V160" s="77"/>
      <c r="W160" s="77"/>
      <c r="X160" s="77"/>
      <c r="Y160" s="79"/>
      <c r="Z160" s="77"/>
      <c r="AA160" s="77"/>
      <c r="AB160" s="77"/>
      <c r="AC160" s="77"/>
      <c r="AD160" s="77"/>
      <c r="AE160" s="79"/>
      <c r="AF160" s="77"/>
      <c r="AG160" s="77"/>
      <c r="AH160" s="77"/>
      <c r="AI160" s="77"/>
      <c r="AJ160" s="77"/>
      <c r="AL160" s="77"/>
      <c r="AM160" s="77"/>
      <c r="AN160" s="77"/>
      <c r="AO160" s="77"/>
      <c r="AP160" s="77"/>
      <c r="AR160" s="77"/>
      <c r="AS160" s="77"/>
      <c r="AT160" s="77"/>
      <c r="AU160" s="77"/>
      <c r="AV160" s="77"/>
    </row>
    <row r="161" spans="1:48" x14ac:dyDescent="0.25">
      <c r="A161" s="28"/>
      <c r="B161" s="78" t="s">
        <v>157</v>
      </c>
      <c r="C161" s="78" t="s">
        <v>158</v>
      </c>
      <c r="D161" s="78" t="s">
        <v>159</v>
      </c>
      <c r="E161" s="78" t="str">
        <f>E151</f>
        <v>Other</v>
      </c>
      <c r="F161" s="78" t="str">
        <f>F151</f>
        <v>FY31- Mtn</v>
      </c>
      <c r="H161" s="78" t="s">
        <v>157</v>
      </c>
      <c r="I161" s="78" t="s">
        <v>158</v>
      </c>
      <c r="J161" s="78" t="s">
        <v>159</v>
      </c>
      <c r="K161" s="78" t="str">
        <f>K151</f>
        <v>Other</v>
      </c>
      <c r="L161" s="78" t="str">
        <f>L151</f>
        <v>FY31- Bon</v>
      </c>
      <c r="N161" s="78" t="s">
        <v>157</v>
      </c>
      <c r="O161" s="78" t="s">
        <v>158</v>
      </c>
      <c r="P161" s="78" t="s">
        <v>159</v>
      </c>
      <c r="Q161" s="78" t="str">
        <f>Q151</f>
        <v>Other</v>
      </c>
      <c r="R161" s="78" t="str">
        <f>R151</f>
        <v>FY31- East</v>
      </c>
      <c r="T161" s="78" t="s">
        <v>157</v>
      </c>
      <c r="U161" s="78" t="s">
        <v>158</v>
      </c>
      <c r="V161" s="78" t="s">
        <v>159</v>
      </c>
      <c r="W161" s="78" t="str">
        <f>W151</f>
        <v>Other</v>
      </c>
      <c r="X161" s="78" t="str">
        <f>X151</f>
        <v>FY31- Cactus</v>
      </c>
      <c r="Y161" s="201"/>
      <c r="Z161" s="78" t="s">
        <v>157</v>
      </c>
      <c r="AA161" s="78" t="s">
        <v>158</v>
      </c>
      <c r="AB161" s="78" t="s">
        <v>159</v>
      </c>
      <c r="AC161" s="78" t="str">
        <f>AC151</f>
        <v>Other</v>
      </c>
      <c r="AD161" s="78" t="str">
        <f>AD151</f>
        <v>FY31- Sahara</v>
      </c>
      <c r="AE161" s="201"/>
      <c r="AF161" s="78" t="s">
        <v>157</v>
      </c>
      <c r="AG161" s="78" t="s">
        <v>158</v>
      </c>
      <c r="AH161" s="78" t="s">
        <v>159</v>
      </c>
      <c r="AI161" s="78" t="str">
        <f>AI151</f>
        <v>Other</v>
      </c>
      <c r="AJ161" s="78" t="str">
        <f>AJ151</f>
        <v>FY31- VV</v>
      </c>
      <c r="AL161" s="78" t="s">
        <v>157</v>
      </c>
      <c r="AM161" s="78" t="s">
        <v>158</v>
      </c>
      <c r="AN161" s="78" t="s">
        <v>159</v>
      </c>
      <c r="AO161" s="78" t="str">
        <f>AO151</f>
        <v>Grant</v>
      </c>
      <c r="AP161" s="78" t="str">
        <f>AP151</f>
        <v>FY31 - Central</v>
      </c>
      <c r="AR161" s="78" t="s">
        <v>157</v>
      </c>
      <c r="AS161" s="78" t="s">
        <v>158</v>
      </c>
      <c r="AT161" s="78" t="s">
        <v>159</v>
      </c>
      <c r="AU161" s="78" t="str">
        <f>AU151</f>
        <v>Other</v>
      </c>
      <c r="AV161" s="78" t="str">
        <f>AV151</f>
        <v>FY31- Sys</v>
      </c>
    </row>
    <row r="162" spans="1:48" x14ac:dyDescent="0.25">
      <c r="A162" s="35" t="s">
        <v>109</v>
      </c>
      <c r="B162" s="75">
        <f>5000+500</f>
        <v>5500</v>
      </c>
      <c r="C162" s="75"/>
      <c r="D162" s="75"/>
      <c r="E162" s="75"/>
      <c r="F162" s="75">
        <f>SUM(B162:E162)</f>
        <v>5500</v>
      </c>
      <c r="H162" s="75">
        <f>5000+500</f>
        <v>5500</v>
      </c>
      <c r="I162" s="75"/>
      <c r="J162" s="75"/>
      <c r="K162" s="75"/>
      <c r="L162" s="75">
        <f>SUM(H162:K162)</f>
        <v>5500</v>
      </c>
      <c r="N162" s="75">
        <f>5000+500</f>
        <v>5500</v>
      </c>
      <c r="O162" s="75"/>
      <c r="P162" s="75"/>
      <c r="Q162" s="75"/>
      <c r="R162" s="75">
        <f>SUM(N162:Q162)</f>
        <v>5500</v>
      </c>
      <c r="T162" s="75">
        <v>0</v>
      </c>
      <c r="U162" s="75"/>
      <c r="V162" s="75"/>
      <c r="W162" s="75"/>
      <c r="X162" s="75">
        <f>SUM(T162:W162)</f>
        <v>0</v>
      </c>
      <c r="Y162" s="194"/>
      <c r="Z162" s="75">
        <v>0</v>
      </c>
      <c r="AA162" s="75"/>
      <c r="AB162" s="75"/>
      <c r="AC162" s="75"/>
      <c r="AD162" s="75">
        <f>SUM(Z162:AC162)</f>
        <v>0</v>
      </c>
      <c r="AE162" s="194"/>
      <c r="AF162" s="75">
        <v>0</v>
      </c>
      <c r="AG162" s="75"/>
      <c r="AH162" s="75"/>
      <c r="AI162" s="75"/>
      <c r="AJ162" s="75">
        <f>SUM(AF162:AI162)</f>
        <v>0</v>
      </c>
      <c r="AL162" s="75"/>
      <c r="AM162" s="75"/>
      <c r="AN162" s="75"/>
      <c r="AO162" s="75"/>
      <c r="AP162" s="75">
        <f>SUM(AL162:AO162)</f>
        <v>0</v>
      </c>
      <c r="AR162" s="75">
        <f>B162+H162+N162+T162+AL162+AF162+Z162</f>
        <v>16500</v>
      </c>
      <c r="AS162" s="75">
        <f t="shared" ref="AS162:AU170" si="296">C162+I162+O162+U162+AM162+AG162+AA162</f>
        <v>0</v>
      </c>
      <c r="AT162" s="75">
        <f t="shared" si="296"/>
        <v>0</v>
      </c>
      <c r="AU162" s="75">
        <f t="shared" si="296"/>
        <v>0</v>
      </c>
      <c r="AV162" s="75">
        <f>SUM(AR162:AU162)</f>
        <v>16500</v>
      </c>
    </row>
    <row r="163" spans="1:48" x14ac:dyDescent="0.25">
      <c r="A163" s="32" t="s">
        <v>112</v>
      </c>
      <c r="B163" s="63"/>
      <c r="C163" s="63"/>
      <c r="D163" s="63"/>
      <c r="E163" s="63"/>
      <c r="F163" s="75">
        <f t="shared" ref="F163:F170" si="297">SUM(B163:E163)</f>
        <v>0</v>
      </c>
      <c r="H163" s="63"/>
      <c r="I163" s="63"/>
      <c r="J163" s="63"/>
      <c r="K163" s="63"/>
      <c r="L163" s="75">
        <f t="shared" ref="L163:L170" si="298">SUM(H163:K163)</f>
        <v>0</v>
      </c>
      <c r="N163" s="89">
        <f>35000*1.03*1.03*1.03*1.03</f>
        <v>39392.808349999999</v>
      </c>
      <c r="O163" s="63"/>
      <c r="P163" s="63"/>
      <c r="Q163" s="63"/>
      <c r="R163" s="75">
        <f t="shared" ref="R163:R170" si="299">SUM(N163:Q163)</f>
        <v>39392.808349999999</v>
      </c>
      <c r="T163" s="63"/>
      <c r="U163" s="63"/>
      <c r="V163" s="63"/>
      <c r="W163" s="63"/>
      <c r="X163" s="75">
        <f t="shared" ref="X163:X170" si="300">SUM(T163:W163)</f>
        <v>0</v>
      </c>
      <c r="Y163" s="194"/>
      <c r="Z163" s="63"/>
      <c r="AA163" s="63"/>
      <c r="AB163" s="63"/>
      <c r="AC163" s="63"/>
      <c r="AD163" s="75">
        <f t="shared" ref="AD163:AD170" si="301">SUM(Z163:AC163)</f>
        <v>0</v>
      </c>
      <c r="AE163" s="194"/>
      <c r="AF163" s="63"/>
      <c r="AG163" s="63"/>
      <c r="AH163" s="63"/>
      <c r="AI163" s="63"/>
      <c r="AJ163" s="75">
        <f t="shared" ref="AJ163:AJ170" si="302">SUM(AF163:AI163)</f>
        <v>0</v>
      </c>
      <c r="AL163" s="63"/>
      <c r="AM163" s="63"/>
      <c r="AN163" s="63"/>
      <c r="AO163" s="63"/>
      <c r="AP163" s="75">
        <f t="shared" ref="AP163:AP170" si="303">SUM(AL163:AO163)</f>
        <v>0</v>
      </c>
      <c r="AR163" s="75">
        <f t="shared" ref="AR163:AR170" si="304">B163+H163+N163+T163+AL163+AF163+Z163</f>
        <v>39392.808349999999</v>
      </c>
      <c r="AS163" s="75">
        <f t="shared" si="296"/>
        <v>0</v>
      </c>
      <c r="AT163" s="75">
        <f t="shared" si="296"/>
        <v>0</v>
      </c>
      <c r="AU163" s="75">
        <f t="shared" si="296"/>
        <v>0</v>
      </c>
      <c r="AV163" s="75">
        <f t="shared" ref="AV163:AV170" si="305">SUM(AR163:AU163)</f>
        <v>39392.808349999999</v>
      </c>
    </row>
    <row r="164" spans="1:48" x14ac:dyDescent="0.25">
      <c r="A164" s="32" t="s">
        <v>116</v>
      </c>
      <c r="B164" s="63">
        <f>532.25*B17</f>
        <v>547153</v>
      </c>
      <c r="C164" s="63"/>
      <c r="D164" s="63"/>
      <c r="E164" s="63"/>
      <c r="F164" s="75">
        <f t="shared" si="297"/>
        <v>547153</v>
      </c>
      <c r="H164" s="63">
        <f>532.25*H17</f>
        <v>547153</v>
      </c>
      <c r="I164" s="63"/>
      <c r="J164" s="63"/>
      <c r="K164" s="63"/>
      <c r="L164" s="75">
        <f t="shared" si="298"/>
        <v>547153</v>
      </c>
      <c r="N164" s="63">
        <f>532.25*N17</f>
        <v>1336479.75</v>
      </c>
      <c r="O164" s="63"/>
      <c r="P164" s="63"/>
      <c r="Q164" s="63"/>
      <c r="R164" s="75">
        <f t="shared" si="299"/>
        <v>1336479.75</v>
      </c>
      <c r="T164" s="63">
        <f>532.25*T17</f>
        <v>287415</v>
      </c>
      <c r="U164" s="63"/>
      <c r="V164" s="63"/>
      <c r="W164" s="63"/>
      <c r="X164" s="75">
        <f t="shared" si="300"/>
        <v>287415</v>
      </c>
      <c r="Y164" s="194"/>
      <c r="Z164" s="63">
        <f>532.25*Z17</f>
        <v>724392.25</v>
      </c>
      <c r="AA164" s="63"/>
      <c r="AB164" s="63"/>
      <c r="AC164" s="63"/>
      <c r="AD164" s="75">
        <f t="shared" si="301"/>
        <v>724392.25</v>
      </c>
      <c r="AE164" s="194"/>
      <c r="AF164" s="63">
        <f>532.25*AF17</f>
        <v>546620.75</v>
      </c>
      <c r="AG164" s="63"/>
      <c r="AH164" s="63"/>
      <c r="AI164" s="63"/>
      <c r="AJ164" s="75">
        <f t="shared" si="302"/>
        <v>546620.75</v>
      </c>
      <c r="AL164" s="63"/>
      <c r="AM164" s="63"/>
      <c r="AN164" s="63"/>
      <c r="AO164" s="63"/>
      <c r="AP164" s="75">
        <f t="shared" si="303"/>
        <v>0</v>
      </c>
      <c r="AR164" s="75">
        <f t="shared" si="304"/>
        <v>3989213.75</v>
      </c>
      <c r="AS164" s="75">
        <f t="shared" si="296"/>
        <v>0</v>
      </c>
      <c r="AT164" s="75">
        <f t="shared" si="296"/>
        <v>0</v>
      </c>
      <c r="AU164" s="75">
        <f t="shared" si="296"/>
        <v>0</v>
      </c>
      <c r="AV164" s="75">
        <f t="shared" si="305"/>
        <v>3989213.75</v>
      </c>
    </row>
    <row r="165" spans="1:48" x14ac:dyDescent="0.25">
      <c r="A165" s="32" t="s">
        <v>117</v>
      </c>
      <c r="B165" s="61">
        <f>(3700*12)*1.03*1.03*1.03*1.03*1.03</f>
        <v>51471.768898920003</v>
      </c>
      <c r="C165" s="63"/>
      <c r="D165" s="63"/>
      <c r="E165" s="63"/>
      <c r="F165" s="75">
        <f t="shared" si="297"/>
        <v>51471.768898920003</v>
      </c>
      <c r="H165" s="61">
        <f>(3700*12)*1.03*1.03*1.03*1.03*1.03</f>
        <v>51471.768898920003</v>
      </c>
      <c r="I165" s="63"/>
      <c r="J165" s="63"/>
      <c r="K165" s="63"/>
      <c r="L165" s="75">
        <f t="shared" si="298"/>
        <v>51471.768898920003</v>
      </c>
      <c r="N165" s="61">
        <f>108000*1.03*1.03*1.03*1.03*1.03</f>
        <v>125201.6000244</v>
      </c>
      <c r="O165" s="63"/>
      <c r="P165" s="63"/>
      <c r="Q165" s="63"/>
      <c r="R165" s="75">
        <f t="shared" si="299"/>
        <v>125201.6000244</v>
      </c>
      <c r="T165" s="61">
        <f>(800*12)*1.02*1.03*1.03*1.03*1.03</f>
        <v>11020.982267519999</v>
      </c>
      <c r="U165" s="63"/>
      <c r="V165" s="63"/>
      <c r="W165" s="63"/>
      <c r="X165" s="75">
        <f t="shared" si="300"/>
        <v>11020.982267519999</v>
      </c>
      <c r="Y165" s="194"/>
      <c r="Z165" s="61">
        <f>(4200*12)*1.03*1.03*1.03*1.03*1.02</f>
        <v>57860.156904480013</v>
      </c>
      <c r="AA165" s="63"/>
      <c r="AB165" s="63"/>
      <c r="AC165" s="63"/>
      <c r="AD165" s="75">
        <f t="shared" si="301"/>
        <v>57860.156904480013</v>
      </c>
      <c r="AE165" s="194"/>
      <c r="AF165" s="61">
        <f>(3700*12)*1.03*1.03*1.03</f>
        <v>48517.078800000003</v>
      </c>
      <c r="AG165" s="63"/>
      <c r="AH165" s="63"/>
      <c r="AI165" s="63"/>
      <c r="AJ165" s="75">
        <f t="shared" si="302"/>
        <v>48517.078800000003</v>
      </c>
      <c r="AL165" s="61">
        <f>10000*1.03*1.03*1.03*1.03*1.03</f>
        <v>11592.740743</v>
      </c>
      <c r="AM165" s="63"/>
      <c r="AN165" s="63"/>
      <c r="AO165" s="63"/>
      <c r="AP165" s="75">
        <f t="shared" si="303"/>
        <v>11592.740743</v>
      </c>
      <c r="AR165" s="75">
        <f t="shared" si="304"/>
        <v>357136.09653724002</v>
      </c>
      <c r="AS165" s="75">
        <f t="shared" si="296"/>
        <v>0</v>
      </c>
      <c r="AT165" s="75">
        <f t="shared" si="296"/>
        <v>0</v>
      </c>
      <c r="AU165" s="75">
        <f t="shared" si="296"/>
        <v>0</v>
      </c>
      <c r="AV165" s="75">
        <f t="shared" si="305"/>
        <v>357136.09653724002</v>
      </c>
    </row>
    <row r="166" spans="1:48" x14ac:dyDescent="0.25">
      <c r="A166" s="32" t="s">
        <v>118</v>
      </c>
      <c r="B166" s="63">
        <f>22500*1.03*1.03*1.03*1.03*1.03</f>
        <v>26083.666671750005</v>
      </c>
      <c r="C166" s="63"/>
      <c r="D166" s="63"/>
      <c r="E166" s="63"/>
      <c r="F166" s="75">
        <f t="shared" si="297"/>
        <v>26083.666671750005</v>
      </c>
      <c r="H166" s="63">
        <f>22500*1.03*1.03*1.03*1.03*1.03</f>
        <v>26083.666671750005</v>
      </c>
      <c r="I166" s="63"/>
      <c r="J166" s="63"/>
      <c r="K166" s="63"/>
      <c r="L166" s="75">
        <f t="shared" si="298"/>
        <v>26083.666671750005</v>
      </c>
      <c r="N166" s="63">
        <f>30000*1.03*1.03*1.03*1.03</f>
        <v>33765.264299999995</v>
      </c>
      <c r="O166" s="63"/>
      <c r="P166" s="63"/>
      <c r="Q166" s="63"/>
      <c r="R166" s="75">
        <f t="shared" si="299"/>
        <v>33765.264299999995</v>
      </c>
      <c r="T166" s="63">
        <f>10000+2500+1500+1000</f>
        <v>15000</v>
      </c>
      <c r="U166" s="63"/>
      <c r="V166" s="63"/>
      <c r="W166" s="63"/>
      <c r="X166" s="75">
        <f t="shared" si="300"/>
        <v>15000</v>
      </c>
      <c r="Y166" s="194"/>
      <c r="Z166" s="63">
        <v>22000</v>
      </c>
      <c r="AA166" s="63"/>
      <c r="AB166" s="63"/>
      <c r="AC166" s="63"/>
      <c r="AD166" s="75">
        <f t="shared" si="301"/>
        <v>22000</v>
      </c>
      <c r="AE166" s="194"/>
      <c r="AF166" s="63">
        <v>16000</v>
      </c>
      <c r="AG166" s="63"/>
      <c r="AH166" s="63"/>
      <c r="AI166" s="63"/>
      <c r="AJ166" s="75">
        <f t="shared" si="302"/>
        <v>16000</v>
      </c>
      <c r="AL166" s="63"/>
      <c r="AM166" s="63"/>
      <c r="AN166" s="63"/>
      <c r="AO166" s="63"/>
      <c r="AP166" s="75">
        <f t="shared" si="303"/>
        <v>0</v>
      </c>
      <c r="AR166" s="75">
        <f t="shared" si="304"/>
        <v>138932.59764350002</v>
      </c>
      <c r="AS166" s="75">
        <f t="shared" si="296"/>
        <v>0</v>
      </c>
      <c r="AT166" s="75">
        <f t="shared" si="296"/>
        <v>0</v>
      </c>
      <c r="AU166" s="75">
        <f t="shared" si="296"/>
        <v>0</v>
      </c>
      <c r="AV166" s="75">
        <f t="shared" si="305"/>
        <v>138932.59764350002</v>
      </c>
    </row>
    <row r="167" spans="1:48" x14ac:dyDescent="0.25">
      <c r="A167" s="32" t="s">
        <v>119</v>
      </c>
      <c r="B167" s="63">
        <f>30000+5000+2500+1000+1000+1000</f>
        <v>40500</v>
      </c>
      <c r="C167" s="63"/>
      <c r="D167" s="63"/>
      <c r="E167" s="63"/>
      <c r="F167" s="75">
        <f t="shared" si="297"/>
        <v>40500</v>
      </c>
      <c r="H167" s="63">
        <f>30000+5000+2500+1000+1000+1000</f>
        <v>40500</v>
      </c>
      <c r="I167" s="63"/>
      <c r="J167" s="63"/>
      <c r="K167" s="63"/>
      <c r="L167" s="75">
        <f t="shared" si="298"/>
        <v>40500</v>
      </c>
      <c r="N167" s="63">
        <f>52500+3000+2500+2000</f>
        <v>60000</v>
      </c>
      <c r="O167" s="63"/>
      <c r="P167" s="63"/>
      <c r="Q167" s="63"/>
      <c r="R167" s="75">
        <f t="shared" si="299"/>
        <v>60000</v>
      </c>
      <c r="T167" s="63">
        <f>30000+2500+2500+2500+1000+1000</f>
        <v>39500</v>
      </c>
      <c r="U167" s="63"/>
      <c r="V167" s="63"/>
      <c r="W167" s="63"/>
      <c r="X167" s="75">
        <f t="shared" si="300"/>
        <v>39500</v>
      </c>
      <c r="Y167" s="194"/>
      <c r="Z167" s="63">
        <v>40000</v>
      </c>
      <c r="AA167" s="63"/>
      <c r="AB167" s="63"/>
      <c r="AC167" s="63"/>
      <c r="AD167" s="75">
        <f t="shared" si="301"/>
        <v>40000</v>
      </c>
      <c r="AE167" s="194"/>
      <c r="AF167" s="63">
        <v>38500</v>
      </c>
      <c r="AG167" s="63"/>
      <c r="AH167" s="63"/>
      <c r="AI167" s="63"/>
      <c r="AJ167" s="75">
        <f t="shared" si="302"/>
        <v>38500</v>
      </c>
      <c r="AL167" s="63"/>
      <c r="AM167" s="63"/>
      <c r="AN167" s="63"/>
      <c r="AO167" s="63"/>
      <c r="AP167" s="75">
        <f t="shared" si="303"/>
        <v>0</v>
      </c>
      <c r="AR167" s="75">
        <f t="shared" si="304"/>
        <v>259000</v>
      </c>
      <c r="AS167" s="75">
        <f t="shared" si="296"/>
        <v>0</v>
      </c>
      <c r="AT167" s="75">
        <f t="shared" si="296"/>
        <v>0</v>
      </c>
      <c r="AU167" s="75">
        <f t="shared" si="296"/>
        <v>0</v>
      </c>
      <c r="AV167" s="75">
        <f t="shared" si="305"/>
        <v>259000</v>
      </c>
    </row>
    <row r="168" spans="1:48" x14ac:dyDescent="0.25">
      <c r="A168" s="32" t="s">
        <v>120</v>
      </c>
      <c r="B168" s="63">
        <f>(49*B17)</f>
        <v>50372</v>
      </c>
      <c r="C168" s="63"/>
      <c r="D168" s="63"/>
      <c r="E168" s="63"/>
      <c r="F168" s="75">
        <f t="shared" si="297"/>
        <v>50372</v>
      </c>
      <c r="H168" s="63">
        <f>(49*H17)</f>
        <v>50372</v>
      </c>
      <c r="I168" s="63"/>
      <c r="J168" s="63"/>
      <c r="K168" s="63"/>
      <c r="L168" s="75">
        <f t="shared" si="298"/>
        <v>50372</v>
      </c>
      <c r="N168" s="63">
        <f>(49*N17)</f>
        <v>123039</v>
      </c>
      <c r="O168" s="63"/>
      <c r="P168" s="63"/>
      <c r="Q168" s="63"/>
      <c r="R168" s="75">
        <f t="shared" si="299"/>
        <v>123039</v>
      </c>
      <c r="T168" s="63">
        <f>(49*T17)</f>
        <v>26460</v>
      </c>
      <c r="U168" s="63"/>
      <c r="V168" s="63"/>
      <c r="W168" s="63"/>
      <c r="X168" s="75">
        <f t="shared" si="300"/>
        <v>26460</v>
      </c>
      <c r="Y168" s="194"/>
      <c r="Z168" s="63">
        <f>(49*Z17)</f>
        <v>66689</v>
      </c>
      <c r="AA168" s="63"/>
      <c r="AB168" s="63"/>
      <c r="AC168" s="63"/>
      <c r="AD168" s="75">
        <f t="shared" si="301"/>
        <v>66689</v>
      </c>
      <c r="AE168" s="194"/>
      <c r="AF168" s="63">
        <f>(48*AF17)</f>
        <v>49296</v>
      </c>
      <c r="AG168" s="63"/>
      <c r="AH168" s="63"/>
      <c r="AI168" s="63"/>
      <c r="AJ168" s="75">
        <f t="shared" si="302"/>
        <v>49296</v>
      </c>
      <c r="AL168" s="63"/>
      <c r="AM168" s="63"/>
      <c r="AN168" s="63"/>
      <c r="AO168" s="63"/>
      <c r="AP168" s="75">
        <f t="shared" si="303"/>
        <v>0</v>
      </c>
      <c r="AR168" s="75">
        <f t="shared" si="304"/>
        <v>366228</v>
      </c>
      <c r="AS168" s="75">
        <f t="shared" si="296"/>
        <v>0</v>
      </c>
      <c r="AT168" s="75">
        <f t="shared" si="296"/>
        <v>0</v>
      </c>
      <c r="AU168" s="75">
        <f t="shared" si="296"/>
        <v>0</v>
      </c>
      <c r="AV168" s="75">
        <f t="shared" si="305"/>
        <v>366228</v>
      </c>
    </row>
    <row r="169" spans="1:48" x14ac:dyDescent="0.25">
      <c r="A169" s="32" t="s">
        <v>121</v>
      </c>
      <c r="B169" s="63">
        <v>0</v>
      </c>
      <c r="C169" s="63"/>
      <c r="D169" s="63"/>
      <c r="E169" s="63"/>
      <c r="F169" s="75">
        <f t="shared" si="297"/>
        <v>0</v>
      </c>
      <c r="H169" s="63">
        <v>0</v>
      </c>
      <c r="I169" s="63"/>
      <c r="J169" s="63"/>
      <c r="K169" s="63"/>
      <c r="L169" s="75">
        <f t="shared" si="298"/>
        <v>0</v>
      </c>
      <c r="N169" s="63">
        <v>0</v>
      </c>
      <c r="O169" s="63"/>
      <c r="P169" s="63"/>
      <c r="Q169" s="63"/>
      <c r="R169" s="75">
        <f t="shared" si="299"/>
        <v>0</v>
      </c>
      <c r="T169" s="63">
        <v>0</v>
      </c>
      <c r="U169" s="63"/>
      <c r="V169" s="63"/>
      <c r="W169" s="63"/>
      <c r="X169" s="75">
        <f t="shared" si="300"/>
        <v>0</v>
      </c>
      <c r="Y169" s="194"/>
      <c r="Z169" s="63">
        <v>0</v>
      </c>
      <c r="AA169" s="63"/>
      <c r="AB169" s="63"/>
      <c r="AC169" s="63"/>
      <c r="AD169" s="75">
        <f t="shared" si="301"/>
        <v>0</v>
      </c>
      <c r="AE169" s="194"/>
      <c r="AF169" s="63">
        <v>0</v>
      </c>
      <c r="AG169" s="63"/>
      <c r="AH169" s="63"/>
      <c r="AI169" s="63"/>
      <c r="AJ169" s="75">
        <f t="shared" si="302"/>
        <v>0</v>
      </c>
      <c r="AL169" s="63"/>
      <c r="AM169" s="63"/>
      <c r="AN169" s="63"/>
      <c r="AO169" s="63"/>
      <c r="AP169" s="75">
        <f t="shared" si="303"/>
        <v>0</v>
      </c>
      <c r="AR169" s="75">
        <f t="shared" si="304"/>
        <v>0</v>
      </c>
      <c r="AS169" s="75">
        <f t="shared" si="296"/>
        <v>0</v>
      </c>
      <c r="AT169" s="75">
        <f t="shared" si="296"/>
        <v>0</v>
      </c>
      <c r="AU169" s="75">
        <f t="shared" si="296"/>
        <v>0</v>
      </c>
      <c r="AV169" s="75">
        <f t="shared" si="305"/>
        <v>0</v>
      </c>
    </row>
    <row r="170" spans="1:48" x14ac:dyDescent="0.25">
      <c r="A170" s="33" t="s">
        <v>122</v>
      </c>
      <c r="B170" s="64">
        <f>B68*0.0125</f>
        <v>130106.25</v>
      </c>
      <c r="C170" s="64"/>
      <c r="D170" s="64"/>
      <c r="E170" s="64"/>
      <c r="F170" s="75">
        <f t="shared" si="297"/>
        <v>130106.25</v>
      </c>
      <c r="H170" s="64">
        <f>H68*0.0125</f>
        <v>130106.25</v>
      </c>
      <c r="I170" s="64"/>
      <c r="J170" s="64"/>
      <c r="K170" s="64"/>
      <c r="L170" s="75">
        <f t="shared" si="298"/>
        <v>130106.25</v>
      </c>
      <c r="N170" s="64">
        <f>N68*0.0125</f>
        <v>317798.4375</v>
      </c>
      <c r="O170" s="64"/>
      <c r="P170" s="64"/>
      <c r="Q170" s="64"/>
      <c r="R170" s="75">
        <f t="shared" si="299"/>
        <v>317798.4375</v>
      </c>
      <c r="T170" s="64">
        <f>T68*0.0125</f>
        <v>68343.75</v>
      </c>
      <c r="U170" s="64"/>
      <c r="V170" s="64"/>
      <c r="W170" s="64"/>
      <c r="X170" s="75">
        <f t="shared" si="300"/>
        <v>68343.75</v>
      </c>
      <c r="Y170" s="194"/>
      <c r="Z170" s="64">
        <f>Z68*0.0125</f>
        <v>172251.5625</v>
      </c>
      <c r="AA170" s="64"/>
      <c r="AB170" s="64"/>
      <c r="AC170" s="64"/>
      <c r="AD170" s="75">
        <f t="shared" si="301"/>
        <v>172251.5625</v>
      </c>
      <c r="AE170" s="194"/>
      <c r="AF170" s="64">
        <f>AF68*0.0125</f>
        <v>129979.6875</v>
      </c>
      <c r="AG170" s="64"/>
      <c r="AH170" s="64"/>
      <c r="AI170" s="64"/>
      <c r="AJ170" s="75">
        <f t="shared" si="302"/>
        <v>129979.6875</v>
      </c>
      <c r="AL170" s="64"/>
      <c r="AM170" s="64"/>
      <c r="AN170" s="64"/>
      <c r="AO170" s="64"/>
      <c r="AP170" s="75">
        <f t="shared" si="303"/>
        <v>0</v>
      </c>
      <c r="AR170" s="75">
        <f t="shared" si="304"/>
        <v>948585.9375</v>
      </c>
      <c r="AS170" s="75">
        <f t="shared" si="296"/>
        <v>0</v>
      </c>
      <c r="AT170" s="75">
        <f t="shared" si="296"/>
        <v>0</v>
      </c>
      <c r="AU170" s="75">
        <f t="shared" si="296"/>
        <v>0</v>
      </c>
      <c r="AV170" s="75">
        <f t="shared" si="305"/>
        <v>948585.9375</v>
      </c>
    </row>
    <row r="171" spans="1:48" x14ac:dyDescent="0.25">
      <c r="A171" s="34"/>
      <c r="B171" s="76">
        <f>SUM(B162:B170)</f>
        <v>851186.68557067006</v>
      </c>
      <c r="C171" s="76">
        <f t="shared" ref="C171:F171" si="306">SUM(C162:C170)</f>
        <v>0</v>
      </c>
      <c r="D171" s="76">
        <f t="shared" si="306"/>
        <v>0</v>
      </c>
      <c r="E171" s="76">
        <f t="shared" si="306"/>
        <v>0</v>
      </c>
      <c r="F171" s="76">
        <f t="shared" si="306"/>
        <v>851186.68557067006</v>
      </c>
      <c r="H171" s="76">
        <f>SUM(H162:H170)</f>
        <v>851186.68557067006</v>
      </c>
      <c r="I171" s="76">
        <f t="shared" ref="I171:L171" si="307">SUM(I162:I170)</f>
        <v>0</v>
      </c>
      <c r="J171" s="76">
        <f t="shared" si="307"/>
        <v>0</v>
      </c>
      <c r="K171" s="76">
        <f t="shared" si="307"/>
        <v>0</v>
      </c>
      <c r="L171" s="76">
        <f t="shared" si="307"/>
        <v>851186.68557067006</v>
      </c>
      <c r="N171" s="76">
        <f>SUM(N162:N170)</f>
        <v>2041176.8601744</v>
      </c>
      <c r="O171" s="76">
        <f t="shared" ref="O171:R171" si="308">SUM(O162:O170)</f>
        <v>0</v>
      </c>
      <c r="P171" s="76">
        <f t="shared" si="308"/>
        <v>0</v>
      </c>
      <c r="Q171" s="76">
        <f t="shared" si="308"/>
        <v>0</v>
      </c>
      <c r="R171" s="76">
        <f t="shared" si="308"/>
        <v>2041176.8601744</v>
      </c>
      <c r="T171" s="76">
        <f>SUM(T162:T170)</f>
        <v>447739.73226751998</v>
      </c>
      <c r="U171" s="76">
        <f t="shared" ref="U171:X171" si="309">SUM(U162:U170)</f>
        <v>0</v>
      </c>
      <c r="V171" s="76">
        <f t="shared" si="309"/>
        <v>0</v>
      </c>
      <c r="W171" s="76">
        <f t="shared" si="309"/>
        <v>0</v>
      </c>
      <c r="X171" s="76">
        <f t="shared" si="309"/>
        <v>447739.73226751998</v>
      </c>
      <c r="Y171" s="199"/>
      <c r="Z171" s="76">
        <f>SUM(Z162:Z170)</f>
        <v>1083192.96940448</v>
      </c>
      <c r="AA171" s="76">
        <f t="shared" ref="AA171:AD171" si="310">SUM(AA162:AA170)</f>
        <v>0</v>
      </c>
      <c r="AB171" s="76">
        <f t="shared" si="310"/>
        <v>0</v>
      </c>
      <c r="AC171" s="76">
        <f t="shared" si="310"/>
        <v>0</v>
      </c>
      <c r="AD171" s="76">
        <f t="shared" si="310"/>
        <v>1083192.96940448</v>
      </c>
      <c r="AE171" s="199"/>
      <c r="AF171" s="76">
        <f>SUM(AF162:AF170)</f>
        <v>828913.51630000002</v>
      </c>
      <c r="AG171" s="76">
        <f t="shared" ref="AG171:AJ171" si="311">SUM(AG162:AG170)</f>
        <v>0</v>
      </c>
      <c r="AH171" s="76">
        <f t="shared" si="311"/>
        <v>0</v>
      </c>
      <c r="AI171" s="76">
        <f t="shared" si="311"/>
        <v>0</v>
      </c>
      <c r="AJ171" s="76">
        <f t="shared" si="311"/>
        <v>828913.51630000002</v>
      </c>
      <c r="AL171" s="76">
        <f>SUM(AL162:AL170)</f>
        <v>11592.740743</v>
      </c>
      <c r="AM171" s="76">
        <f t="shared" ref="AM171:AP171" si="312">SUM(AM162:AM170)</f>
        <v>0</v>
      </c>
      <c r="AN171" s="76">
        <f t="shared" si="312"/>
        <v>0</v>
      </c>
      <c r="AO171" s="76">
        <f t="shared" si="312"/>
        <v>0</v>
      </c>
      <c r="AP171" s="76">
        <f t="shared" si="312"/>
        <v>11592.740743</v>
      </c>
      <c r="AR171" s="76">
        <f>SUM(AR162:AR170)</f>
        <v>6114989.1900307406</v>
      </c>
      <c r="AS171" s="76">
        <f t="shared" ref="AS171:AV171" si="313">SUM(AS162:AS170)</f>
        <v>0</v>
      </c>
      <c r="AT171" s="76">
        <f t="shared" si="313"/>
        <v>0</v>
      </c>
      <c r="AU171" s="76">
        <f t="shared" si="313"/>
        <v>0</v>
      </c>
      <c r="AV171" s="76">
        <f t="shared" si="313"/>
        <v>6114989.1900307406</v>
      </c>
    </row>
    <row r="172" spans="1:48" x14ac:dyDescent="0.25">
      <c r="B172" s="77"/>
      <c r="C172" s="77"/>
      <c r="D172" s="77"/>
      <c r="E172" s="77"/>
      <c r="F172" s="77"/>
      <c r="H172" s="77"/>
      <c r="I172" s="77"/>
      <c r="J172" s="77"/>
      <c r="K172" s="77"/>
      <c r="L172" s="77"/>
      <c r="N172" s="77"/>
      <c r="O172" s="77"/>
      <c r="P172" s="77"/>
      <c r="Q172" s="77"/>
      <c r="R172" s="77"/>
      <c r="T172" s="77"/>
      <c r="U172" s="77"/>
      <c r="V172" s="77"/>
      <c r="W172" s="77"/>
      <c r="X172" s="77"/>
      <c r="Y172" s="79"/>
      <c r="Z172" s="77"/>
      <c r="AA172" s="77"/>
      <c r="AB172" s="77"/>
      <c r="AC172" s="77"/>
      <c r="AD172" s="77"/>
      <c r="AE172" s="79"/>
      <c r="AF172" s="77"/>
      <c r="AG172" s="77"/>
      <c r="AH172" s="77"/>
      <c r="AI172" s="77"/>
      <c r="AJ172" s="77"/>
      <c r="AL172" s="77"/>
      <c r="AM172" s="77"/>
      <c r="AN172" s="77"/>
      <c r="AO172" s="77"/>
      <c r="AP172" s="77"/>
      <c r="AR172" s="77"/>
      <c r="AS172" s="77"/>
      <c r="AT172" s="77"/>
      <c r="AU172" s="77"/>
      <c r="AV172" s="77"/>
    </row>
    <row r="173" spans="1:48" x14ac:dyDescent="0.25">
      <c r="A173" s="28"/>
      <c r="B173" s="78" t="s">
        <v>157</v>
      </c>
      <c r="C173" s="78" t="s">
        <v>158</v>
      </c>
      <c r="D173" s="78" t="s">
        <v>159</v>
      </c>
      <c r="E173" s="78" t="str">
        <f>E161</f>
        <v>Other</v>
      </c>
      <c r="F173" s="78" t="str">
        <f>F161</f>
        <v>FY31- Mtn</v>
      </c>
      <c r="H173" s="78" t="s">
        <v>157</v>
      </c>
      <c r="I173" s="78" t="s">
        <v>158</v>
      </c>
      <c r="J173" s="78" t="s">
        <v>159</v>
      </c>
      <c r="K173" s="78" t="str">
        <f>K161</f>
        <v>Other</v>
      </c>
      <c r="L173" s="78" t="str">
        <f>L161</f>
        <v>FY31- Bon</v>
      </c>
      <c r="N173" s="78" t="s">
        <v>157</v>
      </c>
      <c r="O173" s="78" t="s">
        <v>158</v>
      </c>
      <c r="P173" s="78" t="s">
        <v>159</v>
      </c>
      <c r="Q173" s="78" t="str">
        <f>Q161</f>
        <v>Other</v>
      </c>
      <c r="R173" s="78" t="str">
        <f>R161</f>
        <v>FY31- East</v>
      </c>
      <c r="T173" s="78" t="s">
        <v>157</v>
      </c>
      <c r="U173" s="78" t="s">
        <v>158</v>
      </c>
      <c r="V173" s="78" t="s">
        <v>159</v>
      </c>
      <c r="W173" s="78" t="str">
        <f>W161</f>
        <v>Other</v>
      </c>
      <c r="X173" s="78" t="str">
        <f>X161</f>
        <v>FY31- Cactus</v>
      </c>
      <c r="Y173" s="201"/>
      <c r="Z173" s="78" t="s">
        <v>157</v>
      </c>
      <c r="AA173" s="78" t="s">
        <v>158</v>
      </c>
      <c r="AB173" s="78" t="s">
        <v>159</v>
      </c>
      <c r="AC173" s="78" t="str">
        <f>AC161</f>
        <v>Other</v>
      </c>
      <c r="AD173" s="78" t="str">
        <f>AD161</f>
        <v>FY31- Sahara</v>
      </c>
      <c r="AE173" s="201"/>
      <c r="AF173" s="78" t="s">
        <v>157</v>
      </c>
      <c r="AG173" s="78" t="s">
        <v>158</v>
      </c>
      <c r="AH173" s="78" t="s">
        <v>159</v>
      </c>
      <c r="AI173" s="78" t="str">
        <f>AI161</f>
        <v>Other</v>
      </c>
      <c r="AJ173" s="78" t="str">
        <f>AJ161</f>
        <v>FY31- VV</v>
      </c>
      <c r="AL173" s="78" t="s">
        <v>157</v>
      </c>
      <c r="AM173" s="78" t="s">
        <v>158</v>
      </c>
      <c r="AN173" s="78" t="s">
        <v>159</v>
      </c>
      <c r="AO173" s="78" t="str">
        <f>AO161</f>
        <v>Grant</v>
      </c>
      <c r="AP173" s="78" t="str">
        <f>AP161</f>
        <v>FY31 - Central</v>
      </c>
      <c r="AR173" s="78" t="s">
        <v>157</v>
      </c>
      <c r="AS173" s="78" t="s">
        <v>158</v>
      </c>
      <c r="AT173" s="78" t="s">
        <v>159</v>
      </c>
      <c r="AU173" s="78" t="str">
        <f>AU161</f>
        <v>Other</v>
      </c>
      <c r="AV173" s="78" t="str">
        <f>AV161</f>
        <v>FY31- Sys</v>
      </c>
    </row>
    <row r="174" spans="1:48" x14ac:dyDescent="0.25">
      <c r="A174" s="35" t="s">
        <v>123</v>
      </c>
      <c r="B174" s="75">
        <f>((400*12)+7800)*1.02*1.01*1.01*1.01*1.01</f>
        <v>13373.842736520002</v>
      </c>
      <c r="C174" s="75"/>
      <c r="D174" s="75"/>
      <c r="E174" s="75"/>
      <c r="F174" s="75">
        <f>SUM(B174:E174)</f>
        <v>13373.842736520002</v>
      </c>
      <c r="H174" s="75">
        <f>((400*12)+7800)*1.01*1.02*1.02*1.01*1.01</f>
        <v>13506.257021040001</v>
      </c>
      <c r="I174" s="75"/>
      <c r="J174" s="75"/>
      <c r="K174" s="75"/>
      <c r="L174" s="75">
        <f>SUM(H174:K174)</f>
        <v>13506.257021040001</v>
      </c>
      <c r="N174" s="75">
        <f>(9600+17400)*1.02*1.02*1.02*1.01*1.01</f>
        <v>29228.533581600001</v>
      </c>
      <c r="O174" s="75"/>
      <c r="P174" s="75"/>
      <c r="Q174" s="75"/>
      <c r="R174" s="75">
        <f>SUM(N174:Q174)</f>
        <v>29228.533581600001</v>
      </c>
      <c r="T174" s="60">
        <f>((1060*12)+(60*12))*1.03*1.02*1.02*1.01*1.01</f>
        <v>14691.954832128002</v>
      </c>
      <c r="U174" s="75"/>
      <c r="V174" s="75"/>
      <c r="W174" s="75"/>
      <c r="X174" s="75">
        <f>SUM(T174:W174)</f>
        <v>14691.954832128002</v>
      </c>
      <c r="Y174" s="194"/>
      <c r="Z174" s="60">
        <f>((1160*12)+(65*12))*1.03*1.03*1.02*1.01</f>
        <v>16066.205946</v>
      </c>
      <c r="AA174" s="75"/>
      <c r="AB174" s="75"/>
      <c r="AC174" s="75"/>
      <c r="AD174" s="75">
        <f>SUM(Z174:AC174)</f>
        <v>16066.205946</v>
      </c>
      <c r="AE174" s="194"/>
      <c r="AF174" s="60">
        <f>((1060*12)+(60*12))*1.03*1.02*1.02*1.02</f>
        <v>14690.5145856</v>
      </c>
      <c r="AG174" s="75"/>
      <c r="AH174" s="75"/>
      <c r="AI174" s="75"/>
      <c r="AJ174" s="75">
        <f>SUM(AF174:AI174)</f>
        <v>14690.5145856</v>
      </c>
      <c r="AL174" s="60"/>
      <c r="AM174" s="60"/>
      <c r="AN174" s="60"/>
      <c r="AO174" s="60"/>
      <c r="AP174" s="75">
        <f>SUM(AL174:AO174)</f>
        <v>0</v>
      </c>
      <c r="AR174" s="60">
        <f>B174+H174+N174+T174+AL174+AF174+Z174</f>
        <v>101557.30870288801</v>
      </c>
      <c r="AS174" s="60">
        <f t="shared" ref="AS174:AU189" si="314">C174+I174+O174+U174+AM174+AG174+AA174</f>
        <v>0</v>
      </c>
      <c r="AT174" s="60">
        <f t="shared" si="314"/>
        <v>0</v>
      </c>
      <c r="AU174" s="60">
        <f t="shared" si="314"/>
        <v>0</v>
      </c>
      <c r="AV174" s="75">
        <f>SUM(AR174:AU174)</f>
        <v>101557.30870288801</v>
      </c>
    </row>
    <row r="175" spans="1:48" x14ac:dyDescent="0.25">
      <c r="A175" s="32" t="s">
        <v>124</v>
      </c>
      <c r="B175" s="75">
        <f>1000+200+200+200+200+200</f>
        <v>2000</v>
      </c>
      <c r="C175" s="63"/>
      <c r="D175" s="63"/>
      <c r="E175" s="63"/>
      <c r="F175" s="75">
        <f t="shared" ref="F175:F193" si="315">SUM(B175:E175)</f>
        <v>2000</v>
      </c>
      <c r="H175" s="75">
        <f>1000+200+200+200+200+200</f>
        <v>2000</v>
      </c>
      <c r="I175" s="63"/>
      <c r="J175" s="63"/>
      <c r="K175" s="63"/>
      <c r="L175" s="75">
        <f t="shared" ref="L175:L193" si="316">SUM(H175:K175)</f>
        <v>2000</v>
      </c>
      <c r="N175" s="75">
        <f>2000+200+200+200+200+250</f>
        <v>3050</v>
      </c>
      <c r="O175" s="63"/>
      <c r="P175" s="63"/>
      <c r="Q175" s="63"/>
      <c r="R175" s="75">
        <f t="shared" ref="R175:R193" si="317">SUM(N175:Q175)</f>
        <v>3050</v>
      </c>
      <c r="T175" s="60">
        <f>500+150+150+150+150+150</f>
        <v>1250</v>
      </c>
      <c r="U175" s="63"/>
      <c r="V175" s="63"/>
      <c r="W175" s="63"/>
      <c r="X175" s="75">
        <f t="shared" ref="X175:X193" si="318">SUM(T175:W175)</f>
        <v>1250</v>
      </c>
      <c r="Y175" s="194"/>
      <c r="Z175" s="60">
        <f>500+150+150+200+200+250</f>
        <v>1450</v>
      </c>
      <c r="AA175" s="63"/>
      <c r="AB175" s="63"/>
      <c r="AC175" s="63"/>
      <c r="AD175" s="75">
        <f t="shared" ref="AD175:AD193" si="319">SUM(Z175:AC175)</f>
        <v>1450</v>
      </c>
      <c r="AE175" s="194"/>
      <c r="AF175" s="60">
        <f>500+150+150+150+150</f>
        <v>1100</v>
      </c>
      <c r="AG175" s="63"/>
      <c r="AH175" s="63"/>
      <c r="AI175" s="63"/>
      <c r="AJ175" s="75">
        <f t="shared" ref="AJ175:AJ193" si="320">SUM(AF175:AI175)</f>
        <v>1100</v>
      </c>
      <c r="AL175" s="60"/>
      <c r="AM175" s="61"/>
      <c r="AN175" s="61"/>
      <c r="AO175" s="61"/>
      <c r="AP175" s="75">
        <f t="shared" ref="AP175:AP193" si="321">SUM(AL175:AO175)</f>
        <v>0</v>
      </c>
      <c r="AR175" s="60">
        <f t="shared" ref="AR175:AU193" si="322">B175+H175+N175+T175+AL175+AF175+Z175</f>
        <v>10850</v>
      </c>
      <c r="AS175" s="60">
        <f t="shared" si="314"/>
        <v>0</v>
      </c>
      <c r="AT175" s="60">
        <f t="shared" si="314"/>
        <v>0</v>
      </c>
      <c r="AU175" s="60">
        <f t="shared" si="314"/>
        <v>0</v>
      </c>
      <c r="AV175" s="75">
        <f t="shared" ref="AV175:AV193" si="323">SUM(AR175:AU175)</f>
        <v>10850</v>
      </c>
    </row>
    <row r="176" spans="1:48" x14ac:dyDescent="0.25">
      <c r="A176" s="32" t="s">
        <v>125</v>
      </c>
      <c r="B176" s="60">
        <f>6500+250+250+250+250+250</f>
        <v>7750</v>
      </c>
      <c r="C176" s="63"/>
      <c r="D176" s="63"/>
      <c r="E176" s="63"/>
      <c r="F176" s="75">
        <f t="shared" si="315"/>
        <v>7750</v>
      </c>
      <c r="H176" s="60">
        <f>6500+250+250+200+300+500</f>
        <v>8000</v>
      </c>
      <c r="I176" s="63"/>
      <c r="J176" s="63"/>
      <c r="K176" s="63"/>
      <c r="L176" s="75">
        <f t="shared" si="316"/>
        <v>8000</v>
      </c>
      <c r="N176" s="60">
        <f>6500+500+500+500+500+500</f>
        <v>9000</v>
      </c>
      <c r="O176" s="63"/>
      <c r="P176" s="63"/>
      <c r="Q176" s="63"/>
      <c r="R176" s="75">
        <f t="shared" si="317"/>
        <v>9000</v>
      </c>
      <c r="T176" s="60">
        <f>6500+500+500+500+500+500</f>
        <v>9000</v>
      </c>
      <c r="U176" s="63"/>
      <c r="V176" s="63"/>
      <c r="W176" s="63"/>
      <c r="X176" s="75">
        <f t="shared" si="318"/>
        <v>9000</v>
      </c>
      <c r="Y176" s="194"/>
      <c r="Z176" s="60">
        <f>6500+500+500+500+500+500</f>
        <v>9000</v>
      </c>
      <c r="AA176" s="63"/>
      <c r="AB176" s="63"/>
      <c r="AC176" s="63"/>
      <c r="AD176" s="75">
        <f t="shared" si="319"/>
        <v>9000</v>
      </c>
      <c r="AE176" s="194"/>
      <c r="AF176" s="60">
        <f>6500+500+500+500+500</f>
        <v>8500</v>
      </c>
      <c r="AG176" s="63"/>
      <c r="AH176" s="63"/>
      <c r="AI176" s="63"/>
      <c r="AJ176" s="75">
        <f t="shared" si="320"/>
        <v>8500</v>
      </c>
      <c r="AL176" s="60"/>
      <c r="AM176" s="61"/>
      <c r="AN176" s="61"/>
      <c r="AO176" s="61"/>
      <c r="AP176" s="75">
        <f t="shared" si="321"/>
        <v>0</v>
      </c>
      <c r="AR176" s="60">
        <f t="shared" si="322"/>
        <v>51250</v>
      </c>
      <c r="AS176" s="60">
        <f t="shared" si="314"/>
        <v>0</v>
      </c>
      <c r="AT176" s="60">
        <f t="shared" si="314"/>
        <v>0</v>
      </c>
      <c r="AU176" s="60">
        <f t="shared" si="314"/>
        <v>0</v>
      </c>
      <c r="AV176" s="75">
        <f t="shared" si="323"/>
        <v>51250</v>
      </c>
    </row>
    <row r="177" spans="1:48" x14ac:dyDescent="0.25">
      <c r="A177" s="32" t="s">
        <v>126</v>
      </c>
      <c r="B177" s="60">
        <f>39000+500+500+500+500+500</f>
        <v>41500</v>
      </c>
      <c r="C177" s="63"/>
      <c r="D177" s="63"/>
      <c r="E177" s="63"/>
      <c r="F177" s="75">
        <f t="shared" si="315"/>
        <v>41500</v>
      </c>
      <c r="H177" s="60">
        <f>39000+500+500+500+500+750</f>
        <v>41750</v>
      </c>
      <c r="I177" s="63"/>
      <c r="J177" s="63"/>
      <c r="K177" s="63"/>
      <c r="L177" s="75">
        <f t="shared" si="316"/>
        <v>41750</v>
      </c>
      <c r="N177" s="60">
        <f>100000+3000+2000+1500+1500+2500</f>
        <v>110500</v>
      </c>
      <c r="O177" s="63"/>
      <c r="P177" s="63"/>
      <c r="Q177" s="63"/>
      <c r="R177" s="75">
        <f t="shared" si="317"/>
        <v>110500</v>
      </c>
      <c r="T177" s="60">
        <f>17500+2500+1000+500+1000+1000</f>
        <v>23500</v>
      </c>
      <c r="U177" s="63"/>
      <c r="V177" s="63"/>
      <c r="W177" s="63"/>
      <c r="X177" s="75">
        <f t="shared" si="318"/>
        <v>23500</v>
      </c>
      <c r="Y177" s="194"/>
      <c r="Z177" s="60">
        <v>60000</v>
      </c>
      <c r="AA177" s="63"/>
      <c r="AB177" s="63"/>
      <c r="AC177" s="63"/>
      <c r="AD177" s="75">
        <f t="shared" si="319"/>
        <v>60000</v>
      </c>
      <c r="AE177" s="194"/>
      <c r="AF177" s="60">
        <f>40000*1.03*1.03*1.03</f>
        <v>43709.08</v>
      </c>
      <c r="AG177" s="63"/>
      <c r="AH177" s="63"/>
      <c r="AI177" s="63"/>
      <c r="AJ177" s="75">
        <f t="shared" si="320"/>
        <v>43709.08</v>
      </c>
      <c r="AL177" s="60"/>
      <c r="AM177" s="61"/>
      <c r="AN177" s="61"/>
      <c r="AO177" s="61"/>
      <c r="AP177" s="75">
        <f t="shared" si="321"/>
        <v>0</v>
      </c>
      <c r="AR177" s="60">
        <f t="shared" si="322"/>
        <v>320959.08</v>
      </c>
      <c r="AS177" s="60">
        <f t="shared" si="314"/>
        <v>0</v>
      </c>
      <c r="AT177" s="60">
        <f t="shared" si="314"/>
        <v>0</v>
      </c>
      <c r="AU177" s="60">
        <f t="shared" si="314"/>
        <v>0</v>
      </c>
      <c r="AV177" s="75">
        <f t="shared" si="323"/>
        <v>320959.08</v>
      </c>
    </row>
    <row r="178" spans="1:48" x14ac:dyDescent="0.25">
      <c r="A178" s="32" t="s">
        <v>127</v>
      </c>
      <c r="B178" s="60">
        <f>((2+2.5+0.4+1.95)*B17)*1.02*1.02*1.02*1.02*1.02</f>
        <v>7774.7161999737609</v>
      </c>
      <c r="C178" s="63"/>
      <c r="D178" s="63"/>
      <c r="E178" s="63"/>
      <c r="F178" s="75">
        <f t="shared" si="315"/>
        <v>7774.7161999737609</v>
      </c>
      <c r="H178" s="60">
        <f>((2+2.5+0.4+1.95)*H17)*1.01*1.02*1.02*1.02*1.02</f>
        <v>7698.4934921308804</v>
      </c>
      <c r="I178" s="63"/>
      <c r="J178" s="63"/>
      <c r="K178" s="63"/>
      <c r="L178" s="75">
        <f t="shared" si="316"/>
        <v>7698.4934921308804</v>
      </c>
      <c r="N178" s="60">
        <f>((2+2.5+0.4+1.95)*N17)*1.02*1.02*1.02*1.02*1.02</f>
        <v>18990.576243321124</v>
      </c>
      <c r="O178" s="63"/>
      <c r="P178" s="63"/>
      <c r="Q178" s="63"/>
      <c r="R178" s="75">
        <f t="shared" si="317"/>
        <v>18990.576243321124</v>
      </c>
      <c r="T178" s="60">
        <f>((2+2.5+0.4+1.95)*T17)*1.03*1.03*1.03*1.03*1.03</f>
        <v>4288.1548008357013</v>
      </c>
      <c r="U178" s="63"/>
      <c r="V178" s="63"/>
      <c r="W178" s="63"/>
      <c r="X178" s="75">
        <f t="shared" si="318"/>
        <v>4288.1548008357013</v>
      </c>
      <c r="Y178" s="194"/>
      <c r="Z178" s="60">
        <f>((2+2.5+0.4+1.95)*Z17)*1.03*1.02*1.02*1.02*1.02</f>
        <v>10394.093242741681</v>
      </c>
      <c r="AA178" s="63"/>
      <c r="AB178" s="63"/>
      <c r="AC178" s="63"/>
      <c r="AD178" s="75">
        <f t="shared" si="319"/>
        <v>10394.093242741681</v>
      </c>
      <c r="AE178" s="194"/>
      <c r="AF178" s="60">
        <f>((2+2.5+0.4+1.95)*AF17)*1.03*1.02*1.02*1.02</f>
        <v>7689.5115761880006</v>
      </c>
      <c r="AG178" s="63"/>
      <c r="AH178" s="63"/>
      <c r="AI178" s="63"/>
      <c r="AJ178" s="75">
        <f t="shared" si="320"/>
        <v>7689.5115761880006</v>
      </c>
      <c r="AL178" s="60"/>
      <c r="AM178" s="61"/>
      <c r="AN178" s="61"/>
      <c r="AO178" s="61"/>
      <c r="AP178" s="75">
        <f t="shared" si="321"/>
        <v>0</v>
      </c>
      <c r="AR178" s="60">
        <f t="shared" si="322"/>
        <v>56835.545555191144</v>
      </c>
      <c r="AS178" s="60">
        <f t="shared" si="314"/>
        <v>0</v>
      </c>
      <c r="AT178" s="60">
        <f t="shared" si="314"/>
        <v>0</v>
      </c>
      <c r="AU178" s="60">
        <f t="shared" si="314"/>
        <v>0</v>
      </c>
      <c r="AV178" s="75">
        <f t="shared" si="323"/>
        <v>56835.545555191144</v>
      </c>
    </row>
    <row r="179" spans="1:48" x14ac:dyDescent="0.25">
      <c r="A179" s="32" t="s">
        <v>128</v>
      </c>
      <c r="B179" s="60">
        <f>174000*1.1*1.1*1.1*1.1*1.1</f>
        <v>280228.74000000017</v>
      </c>
      <c r="C179" s="63"/>
      <c r="D179" s="63"/>
      <c r="E179" s="63"/>
      <c r="F179" s="75">
        <f t="shared" si="315"/>
        <v>280228.74000000017</v>
      </c>
      <c r="H179" s="60">
        <f>174000*1.1*1.1*1.1*1.1*1.1</f>
        <v>280228.74000000017</v>
      </c>
      <c r="I179" s="63"/>
      <c r="J179" s="63"/>
      <c r="K179" s="63"/>
      <c r="L179" s="75">
        <f t="shared" si="316"/>
        <v>280228.74000000017</v>
      </c>
      <c r="N179" s="60">
        <f>425000*1.1*1.1*1.1*1.1*1.1</f>
        <v>684466.75000000035</v>
      </c>
      <c r="O179" s="63"/>
      <c r="P179" s="63"/>
      <c r="Q179" s="63"/>
      <c r="R179" s="75">
        <f t="shared" si="317"/>
        <v>684466.75000000035</v>
      </c>
      <c r="T179" s="60">
        <f>40000*1.15*1.15*1.15*1.15*1.12</f>
        <v>78355.479999999981</v>
      </c>
      <c r="U179" s="63"/>
      <c r="V179" s="63"/>
      <c r="W179" s="63"/>
      <c r="X179" s="75">
        <f t="shared" si="318"/>
        <v>78355.479999999981</v>
      </c>
      <c r="Y179" s="194"/>
      <c r="Z179" s="60">
        <v>250000</v>
      </c>
      <c r="AA179" s="63"/>
      <c r="AB179" s="63"/>
      <c r="AC179" s="63"/>
      <c r="AD179" s="75">
        <f t="shared" si="319"/>
        <v>250000</v>
      </c>
      <c r="AE179" s="194"/>
      <c r="AF179" s="60">
        <v>208000</v>
      </c>
      <c r="AG179" s="63"/>
      <c r="AH179" s="63"/>
      <c r="AI179" s="63"/>
      <c r="AJ179" s="75">
        <f t="shared" si="320"/>
        <v>208000</v>
      </c>
      <c r="AL179" s="60"/>
      <c r="AM179" s="61"/>
      <c r="AN179" s="61"/>
      <c r="AO179" s="61"/>
      <c r="AP179" s="75">
        <f t="shared" si="321"/>
        <v>0</v>
      </c>
      <c r="AR179" s="60">
        <f t="shared" si="322"/>
        <v>1781279.7100000007</v>
      </c>
      <c r="AS179" s="60">
        <f t="shared" si="314"/>
        <v>0</v>
      </c>
      <c r="AT179" s="60">
        <f t="shared" si="314"/>
        <v>0</v>
      </c>
      <c r="AU179" s="60">
        <f t="shared" si="314"/>
        <v>0</v>
      </c>
      <c r="AV179" s="75">
        <f t="shared" si="323"/>
        <v>1781279.7100000007</v>
      </c>
    </row>
    <row r="180" spans="1:48" x14ac:dyDescent="0.25">
      <c r="A180" s="32" t="s">
        <v>129</v>
      </c>
      <c r="B180" s="60">
        <v>0</v>
      </c>
      <c r="C180" s="63"/>
      <c r="D180" s="61">
        <f>2.75*950*180</f>
        <v>470250</v>
      </c>
      <c r="E180" s="63"/>
      <c r="F180" s="75">
        <f t="shared" si="315"/>
        <v>470250</v>
      </c>
      <c r="H180" s="60">
        <v>0</v>
      </c>
      <c r="I180" s="63"/>
      <c r="J180" s="61">
        <f>875*2.75*180</f>
        <v>433125</v>
      </c>
      <c r="K180" s="63"/>
      <c r="L180" s="75">
        <f t="shared" si="316"/>
        <v>433125</v>
      </c>
      <c r="N180" s="60">
        <v>0</v>
      </c>
      <c r="O180" s="63"/>
      <c r="P180" s="61">
        <f>1100*2.75*180</f>
        <v>544500</v>
      </c>
      <c r="Q180" s="63"/>
      <c r="R180" s="75">
        <f t="shared" si="317"/>
        <v>544500</v>
      </c>
      <c r="T180" s="60">
        <v>0</v>
      </c>
      <c r="U180" s="63"/>
      <c r="V180" s="61">
        <f>2.6*330*180</f>
        <v>154440</v>
      </c>
      <c r="W180" s="63"/>
      <c r="X180" s="75">
        <f t="shared" si="318"/>
        <v>154440</v>
      </c>
      <c r="Y180" s="194"/>
      <c r="Z180" s="60">
        <v>0</v>
      </c>
      <c r="AA180" s="63"/>
      <c r="AB180" s="61">
        <f>2.65*805*180</f>
        <v>383985</v>
      </c>
      <c r="AC180" s="63"/>
      <c r="AD180" s="75">
        <f t="shared" si="319"/>
        <v>383985</v>
      </c>
      <c r="AE180" s="194"/>
      <c r="AF180" s="60">
        <v>0</v>
      </c>
      <c r="AG180" s="63"/>
      <c r="AH180" s="61">
        <f>2.5*650*180</f>
        <v>292500</v>
      </c>
      <c r="AI180" s="63"/>
      <c r="AJ180" s="75">
        <f t="shared" si="320"/>
        <v>292500</v>
      </c>
      <c r="AL180" s="60"/>
      <c r="AM180" s="61"/>
      <c r="AN180" s="61"/>
      <c r="AO180" s="61"/>
      <c r="AP180" s="75">
        <f t="shared" si="321"/>
        <v>0</v>
      </c>
      <c r="AR180" s="60">
        <f t="shared" si="322"/>
        <v>0</v>
      </c>
      <c r="AS180" s="60">
        <f t="shared" si="314"/>
        <v>0</v>
      </c>
      <c r="AT180" s="60">
        <f t="shared" si="314"/>
        <v>2278800</v>
      </c>
      <c r="AU180" s="60">
        <f t="shared" si="314"/>
        <v>0</v>
      </c>
      <c r="AV180" s="75">
        <f t="shared" si="323"/>
        <v>2278800</v>
      </c>
    </row>
    <row r="181" spans="1:48" x14ac:dyDescent="0.25">
      <c r="A181" s="32" t="s">
        <v>130</v>
      </c>
      <c r="B181" s="60">
        <v>0</v>
      </c>
      <c r="C181" s="63"/>
      <c r="D181" s="61">
        <f>805*4.16*180</f>
        <v>602784</v>
      </c>
      <c r="E181" s="63"/>
      <c r="F181" s="75">
        <f t="shared" si="315"/>
        <v>602784</v>
      </c>
      <c r="H181" s="60">
        <v>0</v>
      </c>
      <c r="I181" s="63"/>
      <c r="J181" s="61">
        <f>600*4.16*180</f>
        <v>449280</v>
      </c>
      <c r="K181" s="63"/>
      <c r="L181" s="75">
        <f t="shared" si="316"/>
        <v>449280</v>
      </c>
      <c r="N181" s="60">
        <v>0</v>
      </c>
      <c r="O181" s="63"/>
      <c r="P181" s="61">
        <f>1100*4.16*180</f>
        <v>823680</v>
      </c>
      <c r="Q181" s="63"/>
      <c r="R181" s="75">
        <f t="shared" si="317"/>
        <v>823680</v>
      </c>
      <c r="T181" s="60">
        <v>0</v>
      </c>
      <c r="U181" s="63"/>
      <c r="V181" s="61">
        <f>330*4.1*180</f>
        <v>243539.99999999997</v>
      </c>
      <c r="W181" s="63"/>
      <c r="X181" s="75">
        <f t="shared" si="318"/>
        <v>243539.99999999997</v>
      </c>
      <c r="Y181" s="194"/>
      <c r="Z181" s="60">
        <v>0</v>
      </c>
      <c r="AA181" s="63"/>
      <c r="AB181" s="61">
        <f>830*4.15*180</f>
        <v>620010.00000000012</v>
      </c>
      <c r="AC181" s="63"/>
      <c r="AD181" s="75">
        <f t="shared" si="319"/>
        <v>620010.00000000012</v>
      </c>
      <c r="AE181" s="194"/>
      <c r="AF181" s="60">
        <v>0</v>
      </c>
      <c r="AG181" s="63"/>
      <c r="AH181" s="61">
        <f>650*4*180</f>
        <v>468000</v>
      </c>
      <c r="AI181" s="63"/>
      <c r="AJ181" s="75">
        <f t="shared" si="320"/>
        <v>468000</v>
      </c>
      <c r="AL181" s="60"/>
      <c r="AM181" s="61"/>
      <c r="AN181" s="61"/>
      <c r="AO181" s="61"/>
      <c r="AP181" s="75">
        <f t="shared" si="321"/>
        <v>0</v>
      </c>
      <c r="AR181" s="60">
        <f t="shared" si="322"/>
        <v>0</v>
      </c>
      <c r="AS181" s="60">
        <f t="shared" si="314"/>
        <v>0</v>
      </c>
      <c r="AT181" s="60">
        <f t="shared" si="314"/>
        <v>3207294</v>
      </c>
      <c r="AU181" s="60">
        <f t="shared" si="314"/>
        <v>0</v>
      </c>
      <c r="AV181" s="75">
        <f t="shared" si="323"/>
        <v>3207294</v>
      </c>
    </row>
    <row r="182" spans="1:48" x14ac:dyDescent="0.25">
      <c r="A182" s="32" t="s">
        <v>131</v>
      </c>
      <c r="B182" s="60">
        <f>5000+500+500+500+500+500</f>
        <v>7500</v>
      </c>
      <c r="C182" s="63"/>
      <c r="D182" s="63"/>
      <c r="E182" s="63"/>
      <c r="F182" s="75">
        <f t="shared" si="315"/>
        <v>7500</v>
      </c>
      <c r="H182" s="60">
        <f>5000+500+500+500+500+500</f>
        <v>7500</v>
      </c>
      <c r="I182" s="63"/>
      <c r="J182" s="63"/>
      <c r="K182" s="63"/>
      <c r="L182" s="75">
        <f t="shared" si="316"/>
        <v>7500</v>
      </c>
      <c r="N182" s="60">
        <f>6000+500+500+500+500+500</f>
        <v>8500</v>
      </c>
      <c r="O182" s="63"/>
      <c r="P182" s="63"/>
      <c r="Q182" s="63"/>
      <c r="R182" s="75">
        <f t="shared" si="317"/>
        <v>8500</v>
      </c>
      <c r="T182" s="60">
        <f>5000+2500+1000+500+500+500</f>
        <v>10000</v>
      </c>
      <c r="U182" s="63"/>
      <c r="V182" s="63"/>
      <c r="W182" s="63"/>
      <c r="X182" s="75">
        <f t="shared" si="318"/>
        <v>10000</v>
      </c>
      <c r="Y182" s="194"/>
      <c r="Z182" s="60">
        <f>5000+2500+500+1000+500+500</f>
        <v>10000</v>
      </c>
      <c r="AA182" s="63"/>
      <c r="AB182" s="63"/>
      <c r="AC182" s="63"/>
      <c r="AD182" s="75">
        <f t="shared" si="319"/>
        <v>10000</v>
      </c>
      <c r="AE182" s="194"/>
      <c r="AF182" s="60">
        <f>5000+2500+250+250+250</f>
        <v>8250</v>
      </c>
      <c r="AG182" s="63"/>
      <c r="AH182" s="63"/>
      <c r="AI182" s="63"/>
      <c r="AJ182" s="75">
        <f t="shared" si="320"/>
        <v>8250</v>
      </c>
      <c r="AL182" s="60"/>
      <c r="AM182" s="61"/>
      <c r="AN182" s="61"/>
      <c r="AO182" s="61"/>
      <c r="AP182" s="75">
        <f t="shared" si="321"/>
        <v>0</v>
      </c>
      <c r="AR182" s="60">
        <f t="shared" si="322"/>
        <v>51750</v>
      </c>
      <c r="AS182" s="60">
        <f t="shared" si="314"/>
        <v>0</v>
      </c>
      <c r="AT182" s="60">
        <f t="shared" si="314"/>
        <v>0</v>
      </c>
      <c r="AU182" s="60">
        <f t="shared" si="314"/>
        <v>0</v>
      </c>
      <c r="AV182" s="75">
        <f t="shared" si="323"/>
        <v>51750</v>
      </c>
    </row>
    <row r="183" spans="1:48" x14ac:dyDescent="0.25">
      <c r="A183" s="32" t="s">
        <v>132</v>
      </c>
      <c r="B183" s="60">
        <f>1000+250+250+250+250+250</f>
        <v>2250</v>
      </c>
      <c r="C183" s="63"/>
      <c r="D183" s="63"/>
      <c r="E183" s="63"/>
      <c r="F183" s="75">
        <f t="shared" si="315"/>
        <v>2250</v>
      </c>
      <c r="H183" s="60">
        <f>1000+250+200+200+200+200</f>
        <v>2050</v>
      </c>
      <c r="I183" s="63"/>
      <c r="J183" s="63"/>
      <c r="K183" s="63"/>
      <c r="L183" s="75">
        <f t="shared" si="316"/>
        <v>2050</v>
      </c>
      <c r="N183" s="60">
        <f>2000+250+250+250+250+250</f>
        <v>3250</v>
      </c>
      <c r="O183" s="63"/>
      <c r="P183" s="63"/>
      <c r="Q183" s="63"/>
      <c r="R183" s="75">
        <f t="shared" si="317"/>
        <v>3250</v>
      </c>
      <c r="T183" s="60">
        <f>1000+100+100+250+300+250</f>
        <v>2000</v>
      </c>
      <c r="U183" s="63"/>
      <c r="V183" s="63"/>
      <c r="W183" s="63"/>
      <c r="X183" s="75">
        <f t="shared" si="318"/>
        <v>2000</v>
      </c>
      <c r="Y183" s="194"/>
      <c r="Z183" s="60">
        <f>1000+100+100+100+100+100</f>
        <v>1500</v>
      </c>
      <c r="AA183" s="63"/>
      <c r="AB183" s="63"/>
      <c r="AC183" s="63"/>
      <c r="AD183" s="75">
        <f t="shared" si="319"/>
        <v>1500</v>
      </c>
      <c r="AE183" s="194"/>
      <c r="AF183" s="60">
        <f>1000+100+100+100+100</f>
        <v>1400</v>
      </c>
      <c r="AG183" s="63"/>
      <c r="AH183" s="63"/>
      <c r="AI183" s="63"/>
      <c r="AJ183" s="75">
        <f t="shared" si="320"/>
        <v>1400</v>
      </c>
      <c r="AL183" s="60"/>
      <c r="AM183" s="61"/>
      <c r="AN183" s="61"/>
      <c r="AO183" s="61"/>
      <c r="AP183" s="75">
        <f t="shared" si="321"/>
        <v>0</v>
      </c>
      <c r="AR183" s="60">
        <f t="shared" si="322"/>
        <v>12450</v>
      </c>
      <c r="AS183" s="60">
        <f t="shared" si="314"/>
        <v>0</v>
      </c>
      <c r="AT183" s="60">
        <f t="shared" si="314"/>
        <v>0</v>
      </c>
      <c r="AU183" s="60">
        <f t="shared" si="314"/>
        <v>0</v>
      </c>
      <c r="AV183" s="75">
        <f t="shared" si="323"/>
        <v>12450</v>
      </c>
    </row>
    <row r="184" spans="1:48" x14ac:dyDescent="0.25">
      <c r="A184" s="32" t="s">
        <v>133</v>
      </c>
      <c r="B184" s="60">
        <f>1000+100+100+100+100+100</f>
        <v>1500</v>
      </c>
      <c r="C184" s="63"/>
      <c r="D184" s="63"/>
      <c r="E184" s="63"/>
      <c r="F184" s="75">
        <f t="shared" si="315"/>
        <v>1500</v>
      </c>
      <c r="H184" s="60">
        <f>1000+100+100+100+100+100</f>
        <v>1500</v>
      </c>
      <c r="I184" s="63"/>
      <c r="J184" s="63"/>
      <c r="K184" s="63"/>
      <c r="L184" s="75">
        <f t="shared" si="316"/>
        <v>1500</v>
      </c>
      <c r="N184" s="60">
        <f>2000+200+200+200+200+200</f>
        <v>3000</v>
      </c>
      <c r="O184" s="63"/>
      <c r="P184" s="63"/>
      <c r="Q184" s="63"/>
      <c r="R184" s="75">
        <f t="shared" si="317"/>
        <v>3000</v>
      </c>
      <c r="T184" s="60">
        <f>1000+100+100+100+100+100</f>
        <v>1500</v>
      </c>
      <c r="U184" s="63"/>
      <c r="V184" s="63"/>
      <c r="W184" s="63"/>
      <c r="X184" s="75">
        <f t="shared" si="318"/>
        <v>1500</v>
      </c>
      <c r="Y184" s="194"/>
      <c r="Z184" s="60">
        <f>1000+100+100+100+100+100</f>
        <v>1500</v>
      </c>
      <c r="AA184" s="63"/>
      <c r="AB184" s="63"/>
      <c r="AC184" s="63"/>
      <c r="AD184" s="75">
        <f t="shared" si="319"/>
        <v>1500</v>
      </c>
      <c r="AE184" s="194"/>
      <c r="AF184" s="60">
        <f>1000+100+100+100+100</f>
        <v>1400</v>
      </c>
      <c r="AG184" s="63"/>
      <c r="AH184" s="63"/>
      <c r="AI184" s="63"/>
      <c r="AJ184" s="75">
        <f t="shared" si="320"/>
        <v>1400</v>
      </c>
      <c r="AL184" s="60"/>
      <c r="AM184" s="61"/>
      <c r="AN184" s="61"/>
      <c r="AO184" s="61"/>
      <c r="AP184" s="75">
        <f t="shared" si="321"/>
        <v>0</v>
      </c>
      <c r="AR184" s="60">
        <f t="shared" si="322"/>
        <v>10400</v>
      </c>
      <c r="AS184" s="60">
        <f t="shared" si="314"/>
        <v>0</v>
      </c>
      <c r="AT184" s="60">
        <f t="shared" si="314"/>
        <v>0</v>
      </c>
      <c r="AU184" s="60">
        <f t="shared" si="314"/>
        <v>0</v>
      </c>
      <c r="AV184" s="75">
        <f t="shared" si="323"/>
        <v>10400</v>
      </c>
    </row>
    <row r="185" spans="1:48" x14ac:dyDescent="0.25">
      <c r="A185" s="32" t="s">
        <v>134</v>
      </c>
      <c r="B185" s="63">
        <f>(12*1050)+1200+3000+4500</f>
        <v>21300</v>
      </c>
      <c r="C185" s="63"/>
      <c r="D185" s="63"/>
      <c r="E185" s="63"/>
      <c r="F185" s="75">
        <f t="shared" si="315"/>
        <v>21300</v>
      </c>
      <c r="H185" s="63">
        <f>(12*1050)+1200+3000+5500</f>
        <v>22300</v>
      </c>
      <c r="I185" s="63"/>
      <c r="J185" s="63"/>
      <c r="K185" s="63"/>
      <c r="L185" s="75">
        <f t="shared" si="316"/>
        <v>22300</v>
      </c>
      <c r="N185" s="63">
        <f>(12*2500)+1200+3000+5500+8000</f>
        <v>47700</v>
      </c>
      <c r="O185" s="63"/>
      <c r="P185" s="63"/>
      <c r="Q185" s="63"/>
      <c r="R185" s="75">
        <f t="shared" si="317"/>
        <v>47700</v>
      </c>
      <c r="T185" s="63">
        <f>((12*1050)+1200+3500)*1.03*1.02*1.02*1.01*1.01</f>
        <v>18911.519240760004</v>
      </c>
      <c r="U185" s="63"/>
      <c r="V185" s="63"/>
      <c r="W185" s="63"/>
      <c r="X185" s="75">
        <f t="shared" si="318"/>
        <v>18911.519240760004</v>
      </c>
      <c r="Y185" s="194"/>
      <c r="Z185" s="63">
        <f>((12*1050)+1200+3500)*1.03*1.02</f>
        <v>18175.38</v>
      </c>
      <c r="AA185" s="63"/>
      <c r="AB185" s="63"/>
      <c r="AC185" s="63"/>
      <c r="AD185" s="75">
        <f t="shared" si="319"/>
        <v>18175.38</v>
      </c>
      <c r="AE185" s="194"/>
      <c r="AF185" s="63">
        <f>((9*1050)+1200+2500+3500)*1.03*1.01*1.01*1.01</f>
        <v>17669.146999500001</v>
      </c>
      <c r="AG185" s="63"/>
      <c r="AH185" s="63"/>
      <c r="AI185" s="63"/>
      <c r="AJ185" s="75">
        <f t="shared" si="320"/>
        <v>17669.146999500001</v>
      </c>
      <c r="AL185" s="61"/>
      <c r="AM185" s="61"/>
      <c r="AN185" s="61"/>
      <c r="AO185" s="61"/>
      <c r="AP185" s="75">
        <f t="shared" si="321"/>
        <v>0</v>
      </c>
      <c r="AR185" s="60">
        <f t="shared" si="322"/>
        <v>146056.04624026001</v>
      </c>
      <c r="AS185" s="60">
        <f t="shared" si="314"/>
        <v>0</v>
      </c>
      <c r="AT185" s="60">
        <f t="shared" si="314"/>
        <v>0</v>
      </c>
      <c r="AU185" s="60">
        <f t="shared" si="314"/>
        <v>0</v>
      </c>
      <c r="AV185" s="75">
        <f t="shared" si="323"/>
        <v>146056.04624026001</v>
      </c>
    </row>
    <row r="186" spans="1:48" x14ac:dyDescent="0.25">
      <c r="A186" s="32" t="s">
        <v>135</v>
      </c>
      <c r="B186" s="63"/>
      <c r="C186" s="63"/>
      <c r="D186" s="63"/>
      <c r="E186" s="63"/>
      <c r="F186" s="75">
        <f t="shared" si="315"/>
        <v>0</v>
      </c>
      <c r="H186" s="63"/>
      <c r="I186" s="63"/>
      <c r="J186" s="63"/>
      <c r="K186" s="63"/>
      <c r="L186" s="75">
        <f t="shared" si="316"/>
        <v>0</v>
      </c>
      <c r="N186" s="63">
        <v>80000</v>
      </c>
      <c r="O186" s="63"/>
      <c r="P186" s="63"/>
      <c r="Q186" s="63"/>
      <c r="R186" s="75">
        <f t="shared" si="317"/>
        <v>80000</v>
      </c>
      <c r="T186" s="63"/>
      <c r="U186" s="63"/>
      <c r="V186" s="63"/>
      <c r="W186" s="63"/>
      <c r="X186" s="75">
        <f t="shared" si="318"/>
        <v>0</v>
      </c>
      <c r="Y186" s="194"/>
      <c r="Z186" s="63"/>
      <c r="AA186" s="63"/>
      <c r="AB186" s="63"/>
      <c r="AC186" s="63"/>
      <c r="AD186" s="75">
        <f t="shared" si="319"/>
        <v>0</v>
      </c>
      <c r="AE186" s="194"/>
      <c r="AF186" s="63"/>
      <c r="AG186" s="63"/>
      <c r="AH186" s="63"/>
      <c r="AI186" s="63"/>
      <c r="AJ186" s="75">
        <f t="shared" si="320"/>
        <v>0</v>
      </c>
      <c r="AL186" s="61"/>
      <c r="AM186" s="61"/>
      <c r="AN186" s="61"/>
      <c r="AO186" s="61"/>
      <c r="AP186" s="75">
        <f t="shared" si="321"/>
        <v>0</v>
      </c>
      <c r="AR186" s="60">
        <f t="shared" si="322"/>
        <v>80000</v>
      </c>
      <c r="AS186" s="60">
        <f t="shared" si="314"/>
        <v>0</v>
      </c>
      <c r="AT186" s="60">
        <f t="shared" si="314"/>
        <v>0</v>
      </c>
      <c r="AU186" s="60">
        <f t="shared" si="314"/>
        <v>0</v>
      </c>
      <c r="AV186" s="75">
        <f t="shared" si="323"/>
        <v>80000</v>
      </c>
    </row>
    <row r="187" spans="1:48" x14ac:dyDescent="0.25">
      <c r="A187" s="32" t="s">
        <v>136</v>
      </c>
      <c r="B187" s="63"/>
      <c r="C187" s="63"/>
      <c r="D187" s="63"/>
      <c r="E187" s="63"/>
      <c r="F187" s="75">
        <f t="shared" si="315"/>
        <v>0</v>
      </c>
      <c r="H187" s="63"/>
      <c r="I187" s="63"/>
      <c r="J187" s="63"/>
      <c r="K187" s="63"/>
      <c r="L187" s="75">
        <f t="shared" si="316"/>
        <v>0</v>
      </c>
      <c r="N187" s="63"/>
      <c r="O187" s="63"/>
      <c r="P187" s="63"/>
      <c r="Q187" s="63"/>
      <c r="R187" s="75">
        <f t="shared" si="317"/>
        <v>0</v>
      </c>
      <c r="T187" s="63"/>
      <c r="U187" s="63"/>
      <c r="V187" s="63"/>
      <c r="W187" s="63"/>
      <c r="X187" s="75">
        <f t="shared" si="318"/>
        <v>0</v>
      </c>
      <c r="Y187" s="194"/>
      <c r="Z187" s="63"/>
      <c r="AA187" s="63"/>
      <c r="AB187" s="63"/>
      <c r="AC187" s="63"/>
      <c r="AD187" s="75">
        <f t="shared" si="319"/>
        <v>0</v>
      </c>
      <c r="AE187" s="194"/>
      <c r="AF187" s="63"/>
      <c r="AG187" s="63"/>
      <c r="AH187" s="63"/>
      <c r="AI187" s="63"/>
      <c r="AJ187" s="75">
        <f t="shared" si="320"/>
        <v>0</v>
      </c>
      <c r="AL187" s="61"/>
      <c r="AM187" s="61"/>
      <c r="AN187" s="61"/>
      <c r="AO187" s="61"/>
      <c r="AP187" s="75">
        <f t="shared" si="321"/>
        <v>0</v>
      </c>
      <c r="AR187" s="60">
        <f t="shared" si="322"/>
        <v>0</v>
      </c>
      <c r="AS187" s="60">
        <f t="shared" si="314"/>
        <v>0</v>
      </c>
      <c r="AT187" s="60">
        <f t="shared" si="314"/>
        <v>0</v>
      </c>
      <c r="AU187" s="60">
        <f t="shared" si="314"/>
        <v>0</v>
      </c>
      <c r="AV187" s="75">
        <f t="shared" si="323"/>
        <v>0</v>
      </c>
    </row>
    <row r="188" spans="1:48" x14ac:dyDescent="0.25">
      <c r="A188" s="32" t="s">
        <v>137</v>
      </c>
      <c r="B188" s="63">
        <v>0</v>
      </c>
      <c r="C188" s="63"/>
      <c r="D188" s="63"/>
      <c r="E188" s="63"/>
      <c r="F188" s="75">
        <f t="shared" si="315"/>
        <v>0</v>
      </c>
      <c r="H188" s="63">
        <v>0</v>
      </c>
      <c r="I188" s="63"/>
      <c r="J188" s="63"/>
      <c r="K188" s="63"/>
      <c r="L188" s="75">
        <f t="shared" si="316"/>
        <v>0</v>
      </c>
      <c r="N188" s="63">
        <f>86100</f>
        <v>86100</v>
      </c>
      <c r="O188" s="63"/>
      <c r="P188" s="63"/>
      <c r="Q188" s="63"/>
      <c r="R188" s="75">
        <f t="shared" si="317"/>
        <v>86100</v>
      </c>
      <c r="T188" s="63">
        <v>35000</v>
      </c>
      <c r="U188" s="63"/>
      <c r="V188" s="63"/>
      <c r="W188" s="63"/>
      <c r="X188" s="75">
        <f t="shared" si="318"/>
        <v>35000</v>
      </c>
      <c r="Y188" s="194"/>
      <c r="Z188" s="218">
        <v>331000</v>
      </c>
      <c r="AA188" s="63"/>
      <c r="AB188" s="63"/>
      <c r="AC188" s="63"/>
      <c r="AD188" s="75">
        <f t="shared" si="319"/>
        <v>331000</v>
      </c>
      <c r="AE188" s="194"/>
      <c r="AF188" s="63">
        <v>0</v>
      </c>
      <c r="AG188" s="63"/>
      <c r="AH188" s="63"/>
      <c r="AI188" s="63"/>
      <c r="AJ188" s="75">
        <f t="shared" si="320"/>
        <v>0</v>
      </c>
      <c r="AL188" s="61"/>
      <c r="AM188" s="61"/>
      <c r="AN188" s="61"/>
      <c r="AO188" s="61"/>
      <c r="AP188" s="75">
        <f t="shared" si="321"/>
        <v>0</v>
      </c>
      <c r="AR188" s="60">
        <f t="shared" si="322"/>
        <v>452100</v>
      </c>
      <c r="AS188" s="60">
        <f t="shared" si="314"/>
        <v>0</v>
      </c>
      <c r="AT188" s="60">
        <f t="shared" si="314"/>
        <v>0</v>
      </c>
      <c r="AU188" s="60">
        <f t="shared" si="314"/>
        <v>0</v>
      </c>
      <c r="AV188" s="75">
        <f t="shared" si="323"/>
        <v>452100</v>
      </c>
    </row>
    <row r="189" spans="1:48" x14ac:dyDescent="0.25">
      <c r="A189" s="32" t="s">
        <v>138</v>
      </c>
      <c r="B189" s="63"/>
      <c r="C189" s="63"/>
      <c r="D189" s="63"/>
      <c r="E189" s="63"/>
      <c r="F189" s="75">
        <f t="shared" si="315"/>
        <v>0</v>
      </c>
      <c r="H189" s="63"/>
      <c r="I189" s="63"/>
      <c r="J189" s="63"/>
      <c r="K189" s="63"/>
      <c r="L189" s="75">
        <f t="shared" si="316"/>
        <v>0</v>
      </c>
      <c r="N189" s="63"/>
      <c r="O189" s="63"/>
      <c r="P189" s="63"/>
      <c r="Q189" s="63"/>
      <c r="R189" s="75">
        <f t="shared" si="317"/>
        <v>0</v>
      </c>
      <c r="T189" s="63"/>
      <c r="U189" s="63"/>
      <c r="V189" s="63"/>
      <c r="W189" s="63"/>
      <c r="X189" s="75">
        <f t="shared" si="318"/>
        <v>0</v>
      </c>
      <c r="Y189" s="194"/>
      <c r="Z189" s="63"/>
      <c r="AA189" s="63"/>
      <c r="AB189" s="63"/>
      <c r="AC189" s="63"/>
      <c r="AD189" s="75">
        <f t="shared" si="319"/>
        <v>0</v>
      </c>
      <c r="AE189" s="194"/>
      <c r="AF189" s="63"/>
      <c r="AG189" s="63"/>
      <c r="AH189" s="63"/>
      <c r="AI189" s="63"/>
      <c r="AJ189" s="75">
        <f t="shared" si="320"/>
        <v>0</v>
      </c>
      <c r="AL189" s="61"/>
      <c r="AM189" s="61"/>
      <c r="AN189" s="61"/>
      <c r="AO189" s="61"/>
      <c r="AP189" s="75">
        <f t="shared" si="321"/>
        <v>0</v>
      </c>
      <c r="AR189" s="60">
        <f t="shared" si="322"/>
        <v>0</v>
      </c>
      <c r="AS189" s="60">
        <f t="shared" si="314"/>
        <v>0</v>
      </c>
      <c r="AT189" s="60">
        <f t="shared" si="314"/>
        <v>0</v>
      </c>
      <c r="AU189" s="60">
        <f t="shared" si="314"/>
        <v>0</v>
      </c>
      <c r="AV189" s="75">
        <f t="shared" si="323"/>
        <v>0</v>
      </c>
    </row>
    <row r="190" spans="1:48" x14ac:dyDescent="0.25">
      <c r="A190" s="32" t="s">
        <v>139</v>
      </c>
      <c r="B190" s="63"/>
      <c r="C190" s="63"/>
      <c r="D190" s="63"/>
      <c r="E190" s="63"/>
      <c r="F190" s="75">
        <f t="shared" si="315"/>
        <v>0</v>
      </c>
      <c r="H190" s="63"/>
      <c r="I190" s="63"/>
      <c r="J190" s="63"/>
      <c r="K190" s="63"/>
      <c r="L190" s="75">
        <f t="shared" si="316"/>
        <v>0</v>
      </c>
      <c r="N190" s="63"/>
      <c r="O190" s="63"/>
      <c r="P190" s="63"/>
      <c r="Q190" s="63"/>
      <c r="R190" s="75">
        <f t="shared" si="317"/>
        <v>0</v>
      </c>
      <c r="T190" s="63"/>
      <c r="U190" s="63"/>
      <c r="V190" s="63"/>
      <c r="W190" s="63"/>
      <c r="X190" s="75">
        <f t="shared" si="318"/>
        <v>0</v>
      </c>
      <c r="Y190" s="194"/>
      <c r="Z190" s="63"/>
      <c r="AA190" s="63"/>
      <c r="AB190" s="63"/>
      <c r="AC190" s="63"/>
      <c r="AD190" s="75">
        <f t="shared" si="319"/>
        <v>0</v>
      </c>
      <c r="AE190" s="194"/>
      <c r="AF190" s="63"/>
      <c r="AG190" s="63"/>
      <c r="AH190" s="63"/>
      <c r="AI190" s="63"/>
      <c r="AJ190" s="75">
        <f t="shared" si="320"/>
        <v>0</v>
      </c>
      <c r="AL190" s="61"/>
      <c r="AM190" s="61"/>
      <c r="AN190" s="61"/>
      <c r="AO190" s="61"/>
      <c r="AP190" s="75">
        <f t="shared" si="321"/>
        <v>0</v>
      </c>
      <c r="AR190" s="60">
        <f t="shared" si="322"/>
        <v>0</v>
      </c>
      <c r="AS190" s="60">
        <f t="shared" si="322"/>
        <v>0</v>
      </c>
      <c r="AT190" s="60">
        <f t="shared" si="322"/>
        <v>0</v>
      </c>
      <c r="AU190" s="60">
        <f t="shared" si="322"/>
        <v>0</v>
      </c>
      <c r="AV190" s="75">
        <f t="shared" si="323"/>
        <v>0</v>
      </c>
    </row>
    <row r="191" spans="1:48" x14ac:dyDescent="0.25">
      <c r="A191" s="32" t="s">
        <v>140</v>
      </c>
      <c r="B191" s="63"/>
      <c r="C191" s="63"/>
      <c r="D191" s="63"/>
      <c r="E191" s="63"/>
      <c r="F191" s="75">
        <f t="shared" si="315"/>
        <v>0</v>
      </c>
      <c r="H191" s="63"/>
      <c r="I191" s="63"/>
      <c r="J191" s="63"/>
      <c r="K191" s="63"/>
      <c r="L191" s="75">
        <f t="shared" si="316"/>
        <v>0</v>
      </c>
      <c r="N191" s="63"/>
      <c r="O191" s="63"/>
      <c r="P191" s="63"/>
      <c r="Q191" s="63"/>
      <c r="R191" s="75">
        <f t="shared" si="317"/>
        <v>0</v>
      </c>
      <c r="T191" s="63"/>
      <c r="U191" s="63"/>
      <c r="V191" s="63"/>
      <c r="W191" s="63"/>
      <c r="X191" s="75">
        <f t="shared" si="318"/>
        <v>0</v>
      </c>
      <c r="Y191" s="194"/>
      <c r="Z191" s="63"/>
      <c r="AA191" s="63"/>
      <c r="AB191" s="63"/>
      <c r="AC191" s="63"/>
      <c r="AD191" s="75">
        <f t="shared" si="319"/>
        <v>0</v>
      </c>
      <c r="AE191" s="194"/>
      <c r="AF191" s="63"/>
      <c r="AG191" s="63"/>
      <c r="AH191" s="63"/>
      <c r="AI191" s="63"/>
      <c r="AJ191" s="75">
        <f t="shared" si="320"/>
        <v>0</v>
      </c>
      <c r="AL191" s="61"/>
      <c r="AM191" s="61"/>
      <c r="AN191" s="61"/>
      <c r="AO191" s="61"/>
      <c r="AP191" s="75">
        <f t="shared" si="321"/>
        <v>0</v>
      </c>
      <c r="AR191" s="60">
        <f t="shared" si="322"/>
        <v>0</v>
      </c>
      <c r="AS191" s="60">
        <f t="shared" si="322"/>
        <v>0</v>
      </c>
      <c r="AT191" s="60">
        <f t="shared" si="322"/>
        <v>0</v>
      </c>
      <c r="AU191" s="60">
        <f t="shared" si="322"/>
        <v>0</v>
      </c>
      <c r="AV191" s="75">
        <f t="shared" si="323"/>
        <v>0</v>
      </c>
    </row>
    <row r="192" spans="1:48" x14ac:dyDescent="0.25">
      <c r="A192" s="32" t="s">
        <v>141</v>
      </c>
      <c r="B192" s="63">
        <v>5000</v>
      </c>
      <c r="C192" s="63"/>
      <c r="D192" s="63"/>
      <c r="E192" s="63"/>
      <c r="F192" s="75">
        <f t="shared" si="315"/>
        <v>5000</v>
      </c>
      <c r="H192" s="63">
        <v>5000</v>
      </c>
      <c r="I192" s="63"/>
      <c r="J192" s="63"/>
      <c r="K192" s="63"/>
      <c r="L192" s="75">
        <f t="shared" si="316"/>
        <v>5000</v>
      </c>
      <c r="N192" s="61">
        <v>10000</v>
      </c>
      <c r="O192" s="63"/>
      <c r="P192" s="63"/>
      <c r="Q192" s="63"/>
      <c r="R192" s="75">
        <f t="shared" si="317"/>
        <v>10000</v>
      </c>
      <c r="T192" s="63">
        <v>2000</v>
      </c>
      <c r="U192" s="63"/>
      <c r="V192" s="63"/>
      <c r="W192" s="63"/>
      <c r="X192" s="75">
        <f t="shared" si="318"/>
        <v>2000</v>
      </c>
      <c r="Y192" s="194"/>
      <c r="Z192" s="63">
        <v>2000</v>
      </c>
      <c r="AA192" s="63"/>
      <c r="AB192" s="63"/>
      <c r="AC192" s="63"/>
      <c r="AD192" s="75">
        <f t="shared" si="319"/>
        <v>2000</v>
      </c>
      <c r="AE192" s="194"/>
      <c r="AF192" s="63">
        <v>2000</v>
      </c>
      <c r="AG192" s="63"/>
      <c r="AH192" s="63"/>
      <c r="AI192" s="63"/>
      <c r="AJ192" s="75">
        <f t="shared" si="320"/>
        <v>2000</v>
      </c>
      <c r="AL192" s="61"/>
      <c r="AM192" s="61"/>
      <c r="AN192" s="61"/>
      <c r="AO192" s="61">
        <v>10000</v>
      </c>
      <c r="AP192" s="75">
        <f t="shared" si="321"/>
        <v>10000</v>
      </c>
      <c r="AR192" s="60">
        <f t="shared" si="322"/>
        <v>26000</v>
      </c>
      <c r="AS192" s="60">
        <f t="shared" si="322"/>
        <v>0</v>
      </c>
      <c r="AT192" s="60">
        <f t="shared" si="322"/>
        <v>0</v>
      </c>
      <c r="AU192" s="60">
        <f t="shared" si="322"/>
        <v>10000</v>
      </c>
      <c r="AV192" s="75">
        <f t="shared" si="323"/>
        <v>36000</v>
      </c>
    </row>
    <row r="193" spans="1:49" x14ac:dyDescent="0.25">
      <c r="A193" s="33" t="s">
        <v>142</v>
      </c>
      <c r="B193" s="64">
        <f>B68*0.01</f>
        <v>104085</v>
      </c>
      <c r="C193" s="64"/>
      <c r="D193" s="64"/>
      <c r="E193" s="64"/>
      <c r="F193" s="75">
        <f t="shared" si="315"/>
        <v>104085</v>
      </c>
      <c r="H193" s="64">
        <f>H68*0.0125</f>
        <v>130106.25</v>
      </c>
      <c r="I193" s="64"/>
      <c r="J193" s="64"/>
      <c r="K193" s="64"/>
      <c r="L193" s="75">
        <f t="shared" si="316"/>
        <v>130106.25</v>
      </c>
      <c r="N193" s="64">
        <f>N68*0.015</f>
        <v>381358.125</v>
      </c>
      <c r="O193" s="64"/>
      <c r="P193" s="64"/>
      <c r="Q193" s="64"/>
      <c r="R193" s="75">
        <f t="shared" si="317"/>
        <v>381358.125</v>
      </c>
      <c r="T193" s="64">
        <v>0</v>
      </c>
      <c r="U193" s="64"/>
      <c r="V193" s="64"/>
      <c r="W193" s="64"/>
      <c r="X193" s="75">
        <f t="shared" si="318"/>
        <v>0</v>
      </c>
      <c r="Y193" s="194"/>
      <c r="Z193" s="64">
        <f>Z68*0.0075</f>
        <v>103350.9375</v>
      </c>
      <c r="AA193" s="64"/>
      <c r="AB193" s="64"/>
      <c r="AC193" s="64"/>
      <c r="AD193" s="75">
        <f t="shared" si="319"/>
        <v>103350.9375</v>
      </c>
      <c r="AE193" s="194"/>
      <c r="AF193" s="64">
        <v>0</v>
      </c>
      <c r="AG193" s="64"/>
      <c r="AH193" s="64"/>
      <c r="AI193" s="64"/>
      <c r="AJ193" s="75">
        <f t="shared" si="320"/>
        <v>0</v>
      </c>
      <c r="AL193" s="91"/>
      <c r="AM193" s="91"/>
      <c r="AN193" s="91"/>
      <c r="AO193" s="91"/>
      <c r="AP193" s="75">
        <f t="shared" si="321"/>
        <v>0</v>
      </c>
      <c r="AR193" s="60">
        <f t="shared" si="322"/>
        <v>718900.3125</v>
      </c>
      <c r="AS193" s="60">
        <f t="shared" si="322"/>
        <v>0</v>
      </c>
      <c r="AT193" s="60">
        <f t="shared" si="322"/>
        <v>0</v>
      </c>
      <c r="AU193" s="60">
        <f t="shared" si="322"/>
        <v>0</v>
      </c>
      <c r="AV193" s="75">
        <f t="shared" si="323"/>
        <v>718900.3125</v>
      </c>
      <c r="AW193" s="94">
        <f>AV193/AR68</f>
        <v>9.473315543695798E-3</v>
      </c>
    </row>
    <row r="194" spans="1:49" x14ac:dyDescent="0.25">
      <c r="A194" s="34"/>
      <c r="B194" s="76">
        <f>SUM(B174:B193)</f>
        <v>494262.29893649393</v>
      </c>
      <c r="C194" s="76">
        <f t="shared" ref="C194:F194" si="324">SUM(C174:C193)</f>
        <v>0</v>
      </c>
      <c r="D194" s="76">
        <f t="shared" si="324"/>
        <v>1073034</v>
      </c>
      <c r="E194" s="76">
        <f t="shared" si="324"/>
        <v>0</v>
      </c>
      <c r="F194" s="76">
        <f t="shared" si="324"/>
        <v>1567296.2989364939</v>
      </c>
      <c r="H194" s="76">
        <f>SUM(H174:H193)</f>
        <v>521639.74051317107</v>
      </c>
      <c r="I194" s="76">
        <f t="shared" ref="I194:L194" si="325">SUM(I174:I193)</f>
        <v>0</v>
      </c>
      <c r="J194" s="76">
        <f t="shared" si="325"/>
        <v>882405</v>
      </c>
      <c r="K194" s="76">
        <f t="shared" si="325"/>
        <v>0</v>
      </c>
      <c r="L194" s="76">
        <f t="shared" si="325"/>
        <v>1404044.7405131711</v>
      </c>
      <c r="N194" s="76">
        <f>SUM(N174:N193)</f>
        <v>1475143.9848249215</v>
      </c>
      <c r="O194" s="76">
        <f t="shared" ref="O194:R194" si="326">SUM(O174:O193)</f>
        <v>0</v>
      </c>
      <c r="P194" s="76">
        <f t="shared" si="326"/>
        <v>1368180</v>
      </c>
      <c r="Q194" s="76">
        <f t="shared" si="326"/>
        <v>0</v>
      </c>
      <c r="R194" s="76">
        <f t="shared" si="326"/>
        <v>2843323.9848249215</v>
      </c>
      <c r="T194" s="76">
        <f>SUM(T174:T193)</f>
        <v>200497.10887372369</v>
      </c>
      <c r="U194" s="76">
        <f t="shared" ref="U194:X194" si="327">SUM(U174:U193)</f>
        <v>0</v>
      </c>
      <c r="V194" s="76">
        <f t="shared" si="327"/>
        <v>397980</v>
      </c>
      <c r="W194" s="76">
        <f t="shared" si="327"/>
        <v>0</v>
      </c>
      <c r="X194" s="76">
        <f t="shared" si="327"/>
        <v>598477.10887372366</v>
      </c>
      <c r="Y194" s="199"/>
      <c r="Z194" s="76">
        <f>SUM(Z174:Z193)</f>
        <v>814436.61668874172</v>
      </c>
      <c r="AA194" s="76">
        <f t="shared" ref="AA194:AD194" si="328">SUM(AA174:AA193)</f>
        <v>0</v>
      </c>
      <c r="AB194" s="76">
        <f t="shared" si="328"/>
        <v>1003995.0000000001</v>
      </c>
      <c r="AC194" s="76">
        <f t="shared" si="328"/>
        <v>0</v>
      </c>
      <c r="AD194" s="76">
        <f t="shared" si="328"/>
        <v>1818431.6166887418</v>
      </c>
      <c r="AE194" s="199"/>
      <c r="AF194" s="76">
        <f>SUM(AF174:AF193)</f>
        <v>314408.25316128798</v>
      </c>
      <c r="AG194" s="76">
        <f t="shared" ref="AG194:AJ194" si="329">SUM(AG174:AG193)</f>
        <v>0</v>
      </c>
      <c r="AH194" s="76">
        <f t="shared" si="329"/>
        <v>760500</v>
      </c>
      <c r="AI194" s="76">
        <f t="shared" si="329"/>
        <v>0</v>
      </c>
      <c r="AJ194" s="76">
        <f t="shared" si="329"/>
        <v>1074908.2531612881</v>
      </c>
      <c r="AL194" s="76">
        <f>SUM(AL174:AL193)</f>
        <v>0</v>
      </c>
      <c r="AM194" s="76">
        <f t="shared" ref="AM194:AP194" si="330">SUM(AM174:AM193)</f>
        <v>0</v>
      </c>
      <c r="AN194" s="76">
        <f t="shared" si="330"/>
        <v>0</v>
      </c>
      <c r="AO194" s="76">
        <f t="shared" si="330"/>
        <v>10000</v>
      </c>
      <c r="AP194" s="76">
        <f t="shared" si="330"/>
        <v>10000</v>
      </c>
      <c r="AR194" s="76">
        <f>SUM(AR174:AR193)</f>
        <v>3820388.0029983399</v>
      </c>
      <c r="AS194" s="76">
        <f t="shared" ref="AS194:AV194" si="331">SUM(AS174:AS193)</f>
        <v>0</v>
      </c>
      <c r="AT194" s="76">
        <f t="shared" si="331"/>
        <v>5486094</v>
      </c>
      <c r="AU194" s="76">
        <f t="shared" si="331"/>
        <v>10000</v>
      </c>
      <c r="AV194" s="76">
        <f t="shared" si="331"/>
        <v>9316482.0029983409</v>
      </c>
    </row>
    <row r="195" spans="1:49" x14ac:dyDescent="0.25">
      <c r="B195" s="77"/>
      <c r="C195" s="77"/>
      <c r="D195" s="77"/>
      <c r="E195" s="77"/>
      <c r="F195" s="77"/>
      <c r="H195" s="77"/>
      <c r="I195" s="77"/>
      <c r="J195" s="77"/>
      <c r="K195" s="77"/>
      <c r="L195" s="77"/>
      <c r="N195" s="77"/>
      <c r="O195" s="77"/>
      <c r="P195" s="77"/>
      <c r="Q195" s="77"/>
      <c r="R195" s="77"/>
      <c r="T195" s="77"/>
      <c r="U195" s="77"/>
      <c r="V195" s="77"/>
      <c r="W195" s="77"/>
      <c r="X195" s="77"/>
      <c r="Y195" s="79"/>
      <c r="Z195" s="77"/>
      <c r="AA195" s="77"/>
      <c r="AB195" s="77"/>
      <c r="AC195" s="77"/>
      <c r="AD195" s="77"/>
      <c r="AE195" s="79"/>
      <c r="AF195" s="77"/>
      <c r="AG195" s="77"/>
      <c r="AH195" s="77"/>
      <c r="AI195" s="77"/>
      <c r="AJ195" s="77"/>
      <c r="AL195" s="77"/>
      <c r="AM195" s="77"/>
      <c r="AN195" s="77"/>
      <c r="AO195" s="77"/>
      <c r="AP195" s="77"/>
      <c r="AR195" s="77"/>
      <c r="AS195" s="77"/>
      <c r="AT195" s="77"/>
      <c r="AU195" s="77"/>
      <c r="AV195" s="77"/>
    </row>
    <row r="196" spans="1:49" x14ac:dyDescent="0.25">
      <c r="A196" s="28"/>
      <c r="B196" s="78" t="s">
        <v>157</v>
      </c>
      <c r="C196" s="78" t="s">
        <v>158</v>
      </c>
      <c r="D196" s="78" t="s">
        <v>159</v>
      </c>
      <c r="E196" s="78" t="str">
        <f>E173</f>
        <v>Other</v>
      </c>
      <c r="F196" s="78" t="str">
        <f>F173</f>
        <v>FY31- Mtn</v>
      </c>
      <c r="H196" s="78" t="s">
        <v>157</v>
      </c>
      <c r="I196" s="78" t="s">
        <v>158</v>
      </c>
      <c r="J196" s="78" t="s">
        <v>159</v>
      </c>
      <c r="K196" s="78" t="str">
        <f>K173</f>
        <v>Other</v>
      </c>
      <c r="L196" s="78" t="str">
        <f>L173</f>
        <v>FY31- Bon</v>
      </c>
      <c r="N196" s="78" t="s">
        <v>157</v>
      </c>
      <c r="O196" s="78" t="s">
        <v>158</v>
      </c>
      <c r="P196" s="78" t="s">
        <v>159</v>
      </c>
      <c r="Q196" s="78" t="str">
        <f>Q173</f>
        <v>Other</v>
      </c>
      <c r="R196" s="78" t="str">
        <f>R173</f>
        <v>FY31- East</v>
      </c>
      <c r="T196" s="78" t="s">
        <v>157</v>
      </c>
      <c r="U196" s="78" t="s">
        <v>158</v>
      </c>
      <c r="V196" s="78" t="s">
        <v>159</v>
      </c>
      <c r="W196" s="78" t="str">
        <f>W173</f>
        <v>Other</v>
      </c>
      <c r="X196" s="78" t="str">
        <f>X173</f>
        <v>FY31- Cactus</v>
      </c>
      <c r="Y196" s="201"/>
      <c r="Z196" s="78" t="s">
        <v>157</v>
      </c>
      <c r="AA196" s="78" t="s">
        <v>158</v>
      </c>
      <c r="AB196" s="78" t="s">
        <v>159</v>
      </c>
      <c r="AC196" s="78" t="str">
        <f>AC173</f>
        <v>Other</v>
      </c>
      <c r="AD196" s="78" t="str">
        <f>AD173</f>
        <v>FY31- Sahara</v>
      </c>
      <c r="AE196" s="201"/>
      <c r="AF196" s="78" t="s">
        <v>157</v>
      </c>
      <c r="AG196" s="78" t="s">
        <v>158</v>
      </c>
      <c r="AH196" s="78" t="s">
        <v>159</v>
      </c>
      <c r="AI196" s="78" t="str">
        <f>AI173</f>
        <v>Other</v>
      </c>
      <c r="AJ196" s="78" t="str">
        <f>AJ173</f>
        <v>FY31- VV</v>
      </c>
      <c r="AL196" s="78" t="s">
        <v>157</v>
      </c>
      <c r="AM196" s="78" t="s">
        <v>158</v>
      </c>
      <c r="AN196" s="78" t="s">
        <v>159</v>
      </c>
      <c r="AO196" s="78" t="str">
        <f>AO173</f>
        <v>Grant</v>
      </c>
      <c r="AP196" s="78" t="str">
        <f>AP173</f>
        <v>FY31 - Central</v>
      </c>
      <c r="AR196" s="78" t="s">
        <v>157</v>
      </c>
      <c r="AS196" s="78" t="s">
        <v>158</v>
      </c>
      <c r="AT196" s="78" t="s">
        <v>159</v>
      </c>
      <c r="AU196" s="78" t="str">
        <f>AU173</f>
        <v>Other</v>
      </c>
      <c r="AV196" s="78" t="str">
        <f>AV173</f>
        <v>FY31- Sys</v>
      </c>
    </row>
    <row r="197" spans="1:49" x14ac:dyDescent="0.25">
      <c r="A197" s="35" t="s">
        <v>143</v>
      </c>
      <c r="B197" s="60">
        <f>95000*1.02*1.02*1.02*1.02*1.02</f>
        <v>104887.67630400001</v>
      </c>
      <c r="C197" s="75"/>
      <c r="D197" s="75"/>
      <c r="E197" s="75"/>
      <c r="F197" s="75">
        <f>SUM(B197:E197)</f>
        <v>104887.67630400001</v>
      </c>
      <c r="H197" s="60">
        <f>95000*1.02*1.02*1.02*1.02*1.02</f>
        <v>104887.67630400001</v>
      </c>
      <c r="I197" s="75"/>
      <c r="J197" s="75"/>
      <c r="K197" s="75"/>
      <c r="L197" s="75">
        <f>SUM(H197:K197)</f>
        <v>104887.67630400001</v>
      </c>
      <c r="N197" s="60">
        <f>285000*1.02*1.02*1.02*1.02*1.02</f>
        <v>314663.02891200001</v>
      </c>
      <c r="O197" s="75"/>
      <c r="P197" s="75"/>
      <c r="Q197" s="75"/>
      <c r="R197" s="75">
        <f>SUM(N197:Q197)</f>
        <v>314663.02891200001</v>
      </c>
      <c r="T197" s="60">
        <f>65000*1.03*1.03*1.02*1.02*1.02</f>
        <v>73179.311868000004</v>
      </c>
      <c r="U197" s="75"/>
      <c r="V197" s="75"/>
      <c r="W197" s="75"/>
      <c r="X197" s="75">
        <f>SUM(T197:W197)</f>
        <v>73179.311868000004</v>
      </c>
      <c r="Y197" s="194"/>
      <c r="Z197" s="60">
        <v>140000</v>
      </c>
      <c r="AA197" s="75"/>
      <c r="AB197" s="75"/>
      <c r="AC197" s="75"/>
      <c r="AD197" s="75">
        <f>SUM(Z197:AC197)</f>
        <v>140000</v>
      </c>
      <c r="AE197" s="194"/>
      <c r="AF197" s="60">
        <f>107500*1.03*1.02*1.03*1.03</f>
        <v>119817.51555</v>
      </c>
      <c r="AG197" s="75"/>
      <c r="AH197" s="75"/>
      <c r="AI197" s="75"/>
      <c r="AJ197" s="75">
        <f>SUM(AF197:AI197)</f>
        <v>119817.51555</v>
      </c>
      <c r="AL197" s="60"/>
      <c r="AM197" s="75"/>
      <c r="AN197" s="75"/>
      <c r="AO197" s="75"/>
      <c r="AP197" s="75">
        <f>SUM(AL197:AO197)</f>
        <v>0</v>
      </c>
      <c r="AR197" s="60">
        <f>B197+H197+N197+T197+AL197+AF197+Z197</f>
        <v>857435.20893800003</v>
      </c>
      <c r="AS197" s="60">
        <f t="shared" ref="AS197:AU206" si="332">C197+I197+O197+U197+AM197+AG197+AA197</f>
        <v>0</v>
      </c>
      <c r="AT197" s="60">
        <f t="shared" si="332"/>
        <v>0</v>
      </c>
      <c r="AU197" s="60">
        <f t="shared" si="332"/>
        <v>0</v>
      </c>
      <c r="AV197" s="75">
        <f>SUM(AR197:AU197)</f>
        <v>857435.20893800003</v>
      </c>
    </row>
    <row r="198" spans="1:49" x14ac:dyDescent="0.25">
      <c r="A198" s="32" t="s">
        <v>144</v>
      </c>
      <c r="B198" s="60">
        <v>0</v>
      </c>
      <c r="C198" s="63"/>
      <c r="D198" s="63"/>
      <c r="E198" s="63"/>
      <c r="F198" s="75">
        <f t="shared" ref="F198:F206" si="333">SUM(B198:E198)</f>
        <v>0</v>
      </c>
      <c r="H198" s="60">
        <v>0</v>
      </c>
      <c r="I198" s="63"/>
      <c r="J198" s="63"/>
      <c r="K198" s="63"/>
      <c r="L198" s="75">
        <f t="shared" ref="L198:L206" si="334">SUM(H198:K198)</f>
        <v>0</v>
      </c>
      <c r="N198" s="60">
        <f>16000*1.02*1.02*1.02*1.02*1.02</f>
        <v>17665.2928512</v>
      </c>
      <c r="O198" s="63"/>
      <c r="P198" s="63"/>
      <c r="Q198" s="63"/>
      <c r="R198" s="75">
        <f t="shared" ref="R198:R206" si="335">SUM(N198:Q198)</f>
        <v>17665.2928512</v>
      </c>
      <c r="T198" s="60"/>
      <c r="U198" s="63"/>
      <c r="V198" s="63"/>
      <c r="W198" s="63"/>
      <c r="X198" s="75">
        <f t="shared" ref="X198:X206" si="336">SUM(T198:W198)</f>
        <v>0</v>
      </c>
      <c r="Y198" s="194"/>
      <c r="Z198" s="60">
        <v>0</v>
      </c>
      <c r="AA198" s="63"/>
      <c r="AB198" s="63"/>
      <c r="AC198" s="63"/>
      <c r="AD198" s="75">
        <f t="shared" ref="AD198:AD206" si="337">SUM(Z198:AC198)</f>
        <v>0</v>
      </c>
      <c r="AE198" s="194"/>
      <c r="AF198" s="60">
        <v>0</v>
      </c>
      <c r="AG198" s="63"/>
      <c r="AH198" s="63"/>
      <c r="AI198" s="63"/>
      <c r="AJ198" s="75">
        <f t="shared" ref="AJ198:AJ206" si="338">SUM(AF198:AI198)</f>
        <v>0</v>
      </c>
      <c r="AL198" s="60"/>
      <c r="AM198" s="63"/>
      <c r="AN198" s="63"/>
      <c r="AO198" s="63"/>
      <c r="AP198" s="75">
        <f t="shared" ref="AP198:AP206" si="339">SUM(AL198:AO198)</f>
        <v>0</v>
      </c>
      <c r="AR198" s="60">
        <f t="shared" ref="AR198:AR206" si="340">B198+H198+N198+T198+AL198+AF198+Z198</f>
        <v>17665.2928512</v>
      </c>
      <c r="AS198" s="60">
        <f t="shared" si="332"/>
        <v>0</v>
      </c>
      <c r="AT198" s="60">
        <f t="shared" si="332"/>
        <v>0</v>
      </c>
      <c r="AU198" s="60">
        <f t="shared" si="332"/>
        <v>0</v>
      </c>
      <c r="AV198" s="75">
        <f t="shared" ref="AV198:AV206" si="341">SUM(AR198:AU198)</f>
        <v>17665.2928512</v>
      </c>
    </row>
    <row r="199" spans="1:49" x14ac:dyDescent="0.25">
      <c r="A199" s="32" t="s">
        <v>145</v>
      </c>
      <c r="B199" s="60">
        <f>57500*1.02*1.02*1.02*1.02*1.02</f>
        <v>63484.646183999997</v>
      </c>
      <c r="C199" s="63"/>
      <c r="D199" s="63"/>
      <c r="E199" s="63"/>
      <c r="F199" s="75">
        <f t="shared" si="333"/>
        <v>63484.646183999997</v>
      </c>
      <c r="H199" s="60">
        <f>57000*1.02*1.02*1.02*1.02*1.02</f>
        <v>62932.605782400009</v>
      </c>
      <c r="I199" s="63"/>
      <c r="J199" s="63"/>
      <c r="K199" s="63"/>
      <c r="L199" s="75">
        <f t="shared" si="334"/>
        <v>62932.605782400009</v>
      </c>
      <c r="N199" s="60">
        <f>130000*1.02*1.02*1.02*1.02*1.02</f>
        <v>143530.50441600001</v>
      </c>
      <c r="O199" s="63"/>
      <c r="P199" s="63"/>
      <c r="Q199" s="63"/>
      <c r="R199" s="75">
        <f t="shared" si="335"/>
        <v>143530.50441600001</v>
      </c>
      <c r="T199" s="60">
        <f>16000*1.03*1.03*1.02*1.02*1.02</f>
        <v>18013.369075200004</v>
      </c>
      <c r="U199" s="63"/>
      <c r="V199" s="63"/>
      <c r="W199" s="63"/>
      <c r="X199" s="75">
        <f t="shared" si="336"/>
        <v>18013.369075200004</v>
      </c>
      <c r="Y199" s="194"/>
      <c r="Z199" s="60">
        <v>90000</v>
      </c>
      <c r="AA199" s="63"/>
      <c r="AB199" s="63"/>
      <c r="AC199" s="63"/>
      <c r="AD199" s="75">
        <f t="shared" si="337"/>
        <v>90000</v>
      </c>
      <c r="AE199" s="194"/>
      <c r="AF199" s="60">
        <f>55000*1.03*1.02*1.02*1.03</f>
        <v>60706.819800000005</v>
      </c>
      <c r="AG199" s="63"/>
      <c r="AH199" s="63"/>
      <c r="AI199" s="63"/>
      <c r="AJ199" s="75">
        <f t="shared" si="338"/>
        <v>60706.819800000005</v>
      </c>
      <c r="AL199" s="60"/>
      <c r="AM199" s="63"/>
      <c r="AN199" s="63"/>
      <c r="AO199" s="63"/>
      <c r="AP199" s="75">
        <f t="shared" si="339"/>
        <v>0</v>
      </c>
      <c r="AR199" s="60">
        <f>B199+H199+N199+T199+AL199+AF199+Z199</f>
        <v>438667.94525760005</v>
      </c>
      <c r="AS199" s="60">
        <f t="shared" si="332"/>
        <v>0</v>
      </c>
      <c r="AT199" s="60">
        <f t="shared" si="332"/>
        <v>0</v>
      </c>
      <c r="AU199" s="60">
        <f t="shared" si="332"/>
        <v>0</v>
      </c>
      <c r="AV199" s="75">
        <f t="shared" si="341"/>
        <v>438667.94525760005</v>
      </c>
    </row>
    <row r="200" spans="1:49" x14ac:dyDescent="0.25">
      <c r="A200" s="32" t="s">
        <v>146</v>
      </c>
      <c r="B200" s="60">
        <f>37000*1.02*1.02*1.02*1.02*1.02</f>
        <v>40850.989718400007</v>
      </c>
      <c r="C200" s="63"/>
      <c r="D200" s="63"/>
      <c r="E200" s="63"/>
      <c r="F200" s="75">
        <f t="shared" si="333"/>
        <v>40850.989718400007</v>
      </c>
      <c r="H200" s="60">
        <f>45000*1.02*1.02*1.02*1.02*1.02</f>
        <v>49683.636144000004</v>
      </c>
      <c r="I200" s="63"/>
      <c r="J200" s="63"/>
      <c r="K200" s="63"/>
      <c r="L200" s="75">
        <f t="shared" si="334"/>
        <v>49683.636144000004</v>
      </c>
      <c r="N200" s="60">
        <f>70000*1.02*1.02*1.02*1.02*1.02</f>
        <v>77285.656224000006</v>
      </c>
      <c r="O200" s="63"/>
      <c r="P200" s="63"/>
      <c r="Q200" s="63"/>
      <c r="R200" s="75">
        <f t="shared" si="335"/>
        <v>77285.656224000006</v>
      </c>
      <c r="T200" s="60"/>
      <c r="U200" s="63"/>
      <c r="V200" s="63"/>
      <c r="W200" s="63"/>
      <c r="X200" s="75">
        <f t="shared" si="336"/>
        <v>0</v>
      </c>
      <c r="Y200" s="194"/>
      <c r="Z200" s="60">
        <v>75000</v>
      </c>
      <c r="AA200" s="63"/>
      <c r="AB200" s="63"/>
      <c r="AC200" s="63"/>
      <c r="AD200" s="75">
        <f t="shared" si="337"/>
        <v>75000</v>
      </c>
      <c r="AE200" s="194"/>
      <c r="AF200" s="60">
        <f>35000*1.03*1.02*1.03*1.02</f>
        <v>38631.6126</v>
      </c>
      <c r="AG200" s="63"/>
      <c r="AH200" s="63"/>
      <c r="AI200" s="63"/>
      <c r="AJ200" s="75">
        <f t="shared" si="338"/>
        <v>38631.6126</v>
      </c>
      <c r="AL200" s="60"/>
      <c r="AM200" s="63"/>
      <c r="AN200" s="63"/>
      <c r="AO200" s="63"/>
      <c r="AP200" s="75">
        <f t="shared" si="339"/>
        <v>0</v>
      </c>
      <c r="AR200" s="60">
        <f t="shared" si="340"/>
        <v>281451.89468640002</v>
      </c>
      <c r="AS200" s="60">
        <f t="shared" si="332"/>
        <v>0</v>
      </c>
      <c r="AT200" s="60">
        <f t="shared" si="332"/>
        <v>0</v>
      </c>
      <c r="AU200" s="60">
        <f t="shared" si="332"/>
        <v>0</v>
      </c>
      <c r="AV200" s="75">
        <f t="shared" si="341"/>
        <v>281451.89468640002</v>
      </c>
    </row>
    <row r="201" spans="1:49" x14ac:dyDescent="0.25">
      <c r="A201" s="32" t="s">
        <v>147</v>
      </c>
      <c r="B201" s="60">
        <f>12500*1.02*1.02*1.02*1.02*1.02</f>
        <v>13801.010040000001</v>
      </c>
      <c r="C201" s="63"/>
      <c r="D201" s="63"/>
      <c r="E201" s="63"/>
      <c r="F201" s="75">
        <f t="shared" si="333"/>
        <v>13801.010040000001</v>
      </c>
      <c r="H201" s="60">
        <f>7500*1.02*1.02*1.02*1.02*1.02</f>
        <v>8280.6060240000006</v>
      </c>
      <c r="I201" s="63"/>
      <c r="J201" s="63"/>
      <c r="K201" s="63"/>
      <c r="L201" s="75">
        <f t="shared" si="334"/>
        <v>8280.6060240000006</v>
      </c>
      <c r="N201" s="60">
        <f>21000*1.02*1.02*1.02*1.02*1.02</f>
        <v>23185.696867200004</v>
      </c>
      <c r="O201" s="63"/>
      <c r="P201" s="63"/>
      <c r="Q201" s="63"/>
      <c r="R201" s="75">
        <f t="shared" si="335"/>
        <v>23185.696867200004</v>
      </c>
      <c r="T201" s="60">
        <f>5500+500+500+500+500+500</f>
        <v>8000</v>
      </c>
      <c r="U201" s="63"/>
      <c r="V201" s="63"/>
      <c r="W201" s="63"/>
      <c r="X201" s="75">
        <f t="shared" si="336"/>
        <v>8000</v>
      </c>
      <c r="Y201" s="194"/>
      <c r="Z201" s="60">
        <v>20000</v>
      </c>
      <c r="AA201" s="63"/>
      <c r="AB201" s="63"/>
      <c r="AC201" s="63"/>
      <c r="AD201" s="75">
        <f t="shared" si="337"/>
        <v>20000</v>
      </c>
      <c r="AE201" s="194"/>
      <c r="AF201" s="60">
        <f>7500+500+500+500+500</f>
        <v>9500</v>
      </c>
      <c r="AG201" s="63"/>
      <c r="AH201" s="63"/>
      <c r="AI201" s="63"/>
      <c r="AJ201" s="75">
        <f t="shared" si="338"/>
        <v>9500</v>
      </c>
      <c r="AL201" s="60"/>
      <c r="AM201" s="63"/>
      <c r="AN201" s="63"/>
      <c r="AO201" s="63"/>
      <c r="AP201" s="75">
        <f t="shared" si="339"/>
        <v>0</v>
      </c>
      <c r="AR201" s="60">
        <f t="shared" si="340"/>
        <v>82767.312931200009</v>
      </c>
      <c r="AS201" s="60">
        <f t="shared" si="332"/>
        <v>0</v>
      </c>
      <c r="AT201" s="60">
        <f t="shared" si="332"/>
        <v>0</v>
      </c>
      <c r="AU201" s="60">
        <f t="shared" si="332"/>
        <v>0</v>
      </c>
      <c r="AV201" s="75">
        <f t="shared" si="341"/>
        <v>82767.312931200009</v>
      </c>
    </row>
    <row r="202" spans="1:49" x14ac:dyDescent="0.25">
      <c r="A202" s="32" t="s">
        <v>148</v>
      </c>
      <c r="B202" s="60">
        <f>((8015*13))*1.03*1.03*1.03*1.03*1.03</f>
        <v>120790.56217168852</v>
      </c>
      <c r="C202" s="63"/>
      <c r="D202" s="63"/>
      <c r="E202" s="63"/>
      <c r="F202" s="75">
        <f t="shared" si="333"/>
        <v>120790.56217168852</v>
      </c>
      <c r="H202" s="60">
        <f>(((7105*13))+10000)*1.03*1.03*1.03*1.03*1.02</f>
        <v>117516.96352236302</v>
      </c>
      <c r="I202" s="63"/>
      <c r="J202" s="63"/>
      <c r="K202" s="63"/>
      <c r="L202" s="75">
        <f t="shared" si="334"/>
        <v>117516.96352236302</v>
      </c>
      <c r="N202" s="60">
        <f>((24050*13)+(12500*2))*1.03*1.03*1.03*1.03</f>
        <v>380028.04969650001</v>
      </c>
      <c r="O202" s="63"/>
      <c r="P202" s="63"/>
      <c r="Q202" s="63"/>
      <c r="R202" s="75">
        <f t="shared" si="335"/>
        <v>380028.04969650001</v>
      </c>
      <c r="T202" s="60">
        <f>(2475*13)*1.05*1.05*1.04*1.04*1.04</f>
        <v>39902.230368000004</v>
      </c>
      <c r="U202" s="63"/>
      <c r="V202" s="63"/>
      <c r="W202" s="63"/>
      <c r="X202" s="75">
        <f t="shared" si="336"/>
        <v>39902.230368000004</v>
      </c>
      <c r="Y202" s="194"/>
      <c r="Z202" s="60">
        <f>(((10105*13))+10000)*1.03*1.03*1.03*1.03*1.03</f>
        <v>163880.77951341955</v>
      </c>
      <c r="AA202" s="63"/>
      <c r="AB202" s="63"/>
      <c r="AC202" s="63"/>
      <c r="AD202" s="75">
        <f t="shared" si="337"/>
        <v>163880.77951341955</v>
      </c>
      <c r="AE202" s="194"/>
      <c r="AF202" s="60">
        <f>(((7105*13)+5000))*1.05*1.03*1.03*1.03</f>
        <v>111713.03257275</v>
      </c>
      <c r="AG202" s="63"/>
      <c r="AH202" s="63"/>
      <c r="AI202" s="63"/>
      <c r="AJ202" s="75">
        <f t="shared" si="338"/>
        <v>111713.03257275</v>
      </c>
      <c r="AL202" s="60"/>
      <c r="AM202" s="63"/>
      <c r="AN202" s="63"/>
      <c r="AO202" s="63"/>
      <c r="AP202" s="75">
        <f t="shared" si="339"/>
        <v>0</v>
      </c>
      <c r="AR202" s="60">
        <f t="shared" si="340"/>
        <v>933831.61784472107</v>
      </c>
      <c r="AS202" s="60">
        <f t="shared" si="332"/>
        <v>0</v>
      </c>
      <c r="AT202" s="60">
        <f t="shared" si="332"/>
        <v>0</v>
      </c>
      <c r="AU202" s="60">
        <f t="shared" si="332"/>
        <v>0</v>
      </c>
      <c r="AV202" s="75">
        <f t="shared" si="341"/>
        <v>933831.61784472107</v>
      </c>
    </row>
    <row r="203" spans="1:49" x14ac:dyDescent="0.25">
      <c r="A203" s="32" t="s">
        <v>149</v>
      </c>
      <c r="B203" s="60">
        <f>145000+5000+5000+5000+5000+5000</f>
        <v>170000</v>
      </c>
      <c r="C203" s="63"/>
      <c r="D203" s="63"/>
      <c r="E203" s="63"/>
      <c r="F203" s="75">
        <f t="shared" si="333"/>
        <v>170000</v>
      </c>
      <c r="H203" s="60">
        <f>140000+5000+5000+5000+5000+5000</f>
        <v>165000</v>
      </c>
      <c r="I203" s="63"/>
      <c r="J203" s="63"/>
      <c r="K203" s="63"/>
      <c r="L203" s="75">
        <f t="shared" si="334"/>
        <v>165000</v>
      </c>
      <c r="N203" s="60">
        <f>235000+10000+10000+10000+10000+10000</f>
        <v>285000</v>
      </c>
      <c r="O203" s="63"/>
      <c r="P203" s="63"/>
      <c r="Q203" s="63">
        <v>0</v>
      </c>
      <c r="R203" s="75">
        <f t="shared" si="335"/>
        <v>285000</v>
      </c>
      <c r="T203" s="60">
        <f>40000+10000+5000+5000+5000+5000</f>
        <v>70000</v>
      </c>
      <c r="U203" s="63"/>
      <c r="V203" s="63">
        <v>0</v>
      </c>
      <c r="W203" s="63"/>
      <c r="X203" s="75">
        <f t="shared" si="336"/>
        <v>70000</v>
      </c>
      <c r="Y203" s="194"/>
      <c r="Z203" s="60">
        <f>125000+10000+10000</f>
        <v>145000</v>
      </c>
      <c r="AA203" s="63"/>
      <c r="AB203" s="63">
        <v>0</v>
      </c>
      <c r="AC203" s="63"/>
      <c r="AD203" s="75">
        <f t="shared" si="337"/>
        <v>145000</v>
      </c>
      <c r="AE203" s="194"/>
      <c r="AF203" s="60">
        <v>100000</v>
      </c>
      <c r="AG203" s="63"/>
      <c r="AH203" s="63">
        <v>0</v>
      </c>
      <c r="AI203" s="63"/>
      <c r="AJ203" s="75">
        <f t="shared" si="338"/>
        <v>100000</v>
      </c>
      <c r="AL203" s="60"/>
      <c r="AM203" s="63"/>
      <c r="AN203" s="63"/>
      <c r="AO203" s="63">
        <f>AO85</f>
        <v>0</v>
      </c>
      <c r="AP203" s="75">
        <f t="shared" si="339"/>
        <v>0</v>
      </c>
      <c r="AR203" s="60">
        <f t="shared" si="340"/>
        <v>935000</v>
      </c>
      <c r="AS203" s="60">
        <f t="shared" si="332"/>
        <v>0</v>
      </c>
      <c r="AT203" s="60">
        <f t="shared" si="332"/>
        <v>0</v>
      </c>
      <c r="AU203" s="60">
        <f t="shared" si="332"/>
        <v>0</v>
      </c>
      <c r="AV203" s="75">
        <f t="shared" si="341"/>
        <v>935000</v>
      </c>
    </row>
    <row r="204" spans="1:49" x14ac:dyDescent="0.25">
      <c r="A204" s="32" t="s">
        <v>150</v>
      </c>
      <c r="B204" s="60">
        <v>0</v>
      </c>
      <c r="C204" s="63"/>
      <c r="D204" s="63"/>
      <c r="E204" s="63"/>
      <c r="F204" s="75">
        <f t="shared" si="333"/>
        <v>0</v>
      </c>
      <c r="H204" s="60">
        <v>0</v>
      </c>
      <c r="I204" s="63"/>
      <c r="J204" s="63"/>
      <c r="K204" s="63"/>
      <c r="L204" s="75">
        <f t="shared" si="334"/>
        <v>0</v>
      </c>
      <c r="N204" s="60">
        <v>0</v>
      </c>
      <c r="O204" s="63"/>
      <c r="P204" s="63"/>
      <c r="Q204" s="63"/>
      <c r="R204" s="75">
        <f t="shared" si="335"/>
        <v>0</v>
      </c>
      <c r="T204" s="60"/>
      <c r="U204" s="63"/>
      <c r="V204" s="63"/>
      <c r="W204" s="63"/>
      <c r="X204" s="75">
        <f t="shared" si="336"/>
        <v>0</v>
      </c>
      <c r="Y204" s="194"/>
      <c r="Z204" s="60">
        <v>0</v>
      </c>
      <c r="AA204" s="63"/>
      <c r="AB204" s="63"/>
      <c r="AC204" s="63"/>
      <c r="AD204" s="75">
        <f t="shared" si="337"/>
        <v>0</v>
      </c>
      <c r="AE204" s="194"/>
      <c r="AF204" s="60">
        <v>0</v>
      </c>
      <c r="AG204" s="63"/>
      <c r="AH204" s="63"/>
      <c r="AI204" s="63"/>
      <c r="AJ204" s="75">
        <f t="shared" si="338"/>
        <v>0</v>
      </c>
      <c r="AL204" s="60"/>
      <c r="AM204" s="63"/>
      <c r="AN204" s="63"/>
      <c r="AO204" s="63"/>
      <c r="AP204" s="75">
        <f t="shared" si="339"/>
        <v>0</v>
      </c>
      <c r="AR204" s="60">
        <f t="shared" si="340"/>
        <v>0</v>
      </c>
      <c r="AS204" s="60">
        <f t="shared" si="332"/>
        <v>0</v>
      </c>
      <c r="AT204" s="60">
        <f t="shared" si="332"/>
        <v>0</v>
      </c>
      <c r="AU204" s="60">
        <f t="shared" si="332"/>
        <v>0</v>
      </c>
      <c r="AV204" s="75">
        <f t="shared" si="341"/>
        <v>0</v>
      </c>
    </row>
    <row r="205" spans="1:49" x14ac:dyDescent="0.25">
      <c r="A205" s="32" t="s">
        <v>151</v>
      </c>
      <c r="B205" s="60">
        <f>25250*1.02*1.02*1.02*1.02*1.02</f>
        <v>27878.040280800004</v>
      </c>
      <c r="C205" s="63"/>
      <c r="D205" s="63"/>
      <c r="E205" s="63"/>
      <c r="F205" s="75">
        <f t="shared" si="333"/>
        <v>27878.040280800004</v>
      </c>
      <c r="H205" s="60">
        <f>(((700*1.04)*12)+12000)*1.02*1.02*1.02*1.02*1.02</f>
        <v>22894.219535155204</v>
      </c>
      <c r="I205" s="63"/>
      <c r="J205" s="63"/>
      <c r="K205" s="63"/>
      <c r="L205" s="75">
        <f t="shared" si="334"/>
        <v>22894.219535155204</v>
      </c>
      <c r="N205" s="60">
        <f>(((1750*1.04)*12)+14000)*1.03*1.02*1.02*1.02*1.03</f>
        <v>40349.946728448005</v>
      </c>
      <c r="O205" s="63"/>
      <c r="P205" s="63"/>
      <c r="Q205" s="63"/>
      <c r="R205" s="75">
        <f t="shared" si="335"/>
        <v>40349.946728448005</v>
      </c>
      <c r="T205" s="60">
        <f>750*12*1.03*1.03*1.03*1.03*1.03</f>
        <v>10433.466668700003</v>
      </c>
      <c r="U205" s="63"/>
      <c r="V205" s="63"/>
      <c r="W205" s="63"/>
      <c r="X205" s="75">
        <f t="shared" si="336"/>
        <v>10433.466668700003</v>
      </c>
      <c r="Y205" s="194"/>
      <c r="Z205" s="60">
        <f>(((1000*1.04)*12)+16000)*1.02*1.02*1.02*1.02</f>
        <v>30827.667916800005</v>
      </c>
      <c r="AA205" s="63"/>
      <c r="AB205" s="63"/>
      <c r="AC205" s="63"/>
      <c r="AD205" s="75">
        <f t="shared" si="337"/>
        <v>30827.667916800005</v>
      </c>
      <c r="AE205" s="194"/>
      <c r="AF205" s="60">
        <f>(((700*1.04)*12)+12000)*1.03*1.02*1.02*1.03</f>
        <v>22887.57482496</v>
      </c>
      <c r="AG205" s="63"/>
      <c r="AH205" s="63"/>
      <c r="AI205" s="63"/>
      <c r="AJ205" s="75">
        <f t="shared" si="338"/>
        <v>22887.57482496</v>
      </c>
      <c r="AL205" s="60"/>
      <c r="AM205" s="63"/>
      <c r="AN205" s="63"/>
      <c r="AO205" s="63"/>
      <c r="AP205" s="75">
        <f t="shared" si="339"/>
        <v>0</v>
      </c>
      <c r="AR205" s="60">
        <f t="shared" si="340"/>
        <v>155270.91595486322</v>
      </c>
      <c r="AS205" s="60">
        <f t="shared" si="332"/>
        <v>0</v>
      </c>
      <c r="AT205" s="60">
        <f t="shared" si="332"/>
        <v>0</v>
      </c>
      <c r="AU205" s="60">
        <f t="shared" si="332"/>
        <v>0</v>
      </c>
      <c r="AV205" s="75">
        <f t="shared" si="341"/>
        <v>155270.91595486322</v>
      </c>
    </row>
    <row r="206" spans="1:49" x14ac:dyDescent="0.25">
      <c r="A206" s="33" t="s">
        <v>152</v>
      </c>
      <c r="B206" s="60">
        <f>((13610*1.04)+20000)*1.03*1.02*1.02*1.03*1.02</f>
        <v>38452.238296375683</v>
      </c>
      <c r="C206" s="64"/>
      <c r="D206" s="64"/>
      <c r="E206" s="64"/>
      <c r="F206" s="75">
        <f t="shared" si="333"/>
        <v>38452.238296375683</v>
      </c>
      <c r="H206" s="60">
        <f>((12860*1.04)+20000)*1.03*1.02*1.02*1.02*1.02</f>
        <v>37209.289597125127</v>
      </c>
      <c r="I206" s="64"/>
      <c r="J206" s="64"/>
      <c r="K206" s="64"/>
      <c r="L206" s="75">
        <f t="shared" si="334"/>
        <v>37209.289597125127</v>
      </c>
      <c r="N206" s="60">
        <f>((24500*1.04)+30000)*1.03*1.02*1.02*1.02*1.03</f>
        <v>62461.357268256004</v>
      </c>
      <c r="O206" s="64"/>
      <c r="P206" s="64"/>
      <c r="Q206" s="64"/>
      <c r="R206" s="75">
        <f t="shared" si="335"/>
        <v>62461.357268256004</v>
      </c>
      <c r="T206" s="60">
        <f>20000*1.03*1.03*1.03*1.03*1.03</f>
        <v>23185.481486000001</v>
      </c>
      <c r="U206" s="64"/>
      <c r="V206" s="64"/>
      <c r="W206" s="64"/>
      <c r="X206" s="75">
        <f t="shared" si="336"/>
        <v>23185.481486000001</v>
      </c>
      <c r="Y206" s="194"/>
      <c r="Z206" s="60">
        <f>((12860*1.04)+40000)*1.03*1.02*1.02*1.02*1.02</f>
        <v>59507.392093125134</v>
      </c>
      <c r="AA206" s="64"/>
      <c r="AB206" s="64"/>
      <c r="AC206" s="64"/>
      <c r="AD206" s="75">
        <f t="shared" si="337"/>
        <v>59507.392093125134</v>
      </c>
      <c r="AE206" s="194"/>
      <c r="AF206" s="60">
        <f>((12860*1.04)+20000)*1.03*1.02*1.02*1.03</f>
        <v>36837.339758784008</v>
      </c>
      <c r="AG206" s="64"/>
      <c r="AH206" s="64"/>
      <c r="AI206" s="64"/>
      <c r="AJ206" s="75">
        <f t="shared" si="338"/>
        <v>36837.339758784008</v>
      </c>
      <c r="AL206" s="60"/>
      <c r="AM206" s="64"/>
      <c r="AN206" s="64"/>
      <c r="AO206" s="64"/>
      <c r="AP206" s="75">
        <f t="shared" si="339"/>
        <v>0</v>
      </c>
      <c r="AR206" s="60">
        <f t="shared" si="340"/>
        <v>257653.09849966597</v>
      </c>
      <c r="AS206" s="60">
        <f t="shared" si="332"/>
        <v>0</v>
      </c>
      <c r="AT206" s="60">
        <f t="shared" si="332"/>
        <v>0</v>
      </c>
      <c r="AU206" s="60">
        <f t="shared" si="332"/>
        <v>0</v>
      </c>
      <c r="AV206" s="75">
        <f t="shared" si="341"/>
        <v>257653.09849966597</v>
      </c>
    </row>
    <row r="207" spans="1:49" x14ac:dyDescent="0.25">
      <c r="A207" s="34"/>
      <c r="B207" s="76">
        <f>SUM(B197:B206)</f>
        <v>580145.16299526428</v>
      </c>
      <c r="C207" s="76">
        <f t="shared" ref="C207:F207" si="342">SUM(C197:C206)</f>
        <v>0</v>
      </c>
      <c r="D207" s="76">
        <f t="shared" si="342"/>
        <v>0</v>
      </c>
      <c r="E207" s="76">
        <f t="shared" si="342"/>
        <v>0</v>
      </c>
      <c r="F207" s="76">
        <f t="shared" si="342"/>
        <v>580145.16299526428</v>
      </c>
      <c r="H207" s="76">
        <f>SUM(H197:H206)</f>
        <v>568404.9969090434</v>
      </c>
      <c r="I207" s="76">
        <f t="shared" ref="I207:L207" si="343">SUM(I197:I206)</f>
        <v>0</v>
      </c>
      <c r="J207" s="76">
        <f t="shared" si="343"/>
        <v>0</v>
      </c>
      <c r="K207" s="76">
        <f t="shared" si="343"/>
        <v>0</v>
      </c>
      <c r="L207" s="76">
        <f t="shared" si="343"/>
        <v>568404.9969090434</v>
      </c>
      <c r="N207" s="76">
        <f>SUM(N197:N206)</f>
        <v>1344169.5329636037</v>
      </c>
      <c r="O207" s="76">
        <f t="shared" ref="O207:R207" si="344">SUM(O197:O206)</f>
        <v>0</v>
      </c>
      <c r="P207" s="76">
        <f t="shared" si="344"/>
        <v>0</v>
      </c>
      <c r="Q207" s="76">
        <f t="shared" si="344"/>
        <v>0</v>
      </c>
      <c r="R207" s="76">
        <f t="shared" si="344"/>
        <v>1344169.5329636037</v>
      </c>
      <c r="T207" s="76">
        <f>SUM(T197:T206)</f>
        <v>242713.85946590002</v>
      </c>
      <c r="U207" s="76">
        <f t="shared" ref="U207:X207" si="345">SUM(U197:U206)</f>
        <v>0</v>
      </c>
      <c r="V207" s="76">
        <f t="shared" si="345"/>
        <v>0</v>
      </c>
      <c r="W207" s="76">
        <f t="shared" si="345"/>
        <v>0</v>
      </c>
      <c r="X207" s="76">
        <f t="shared" si="345"/>
        <v>242713.85946590002</v>
      </c>
      <c r="Y207" s="199"/>
      <c r="Z207" s="76">
        <f>SUM(Z197:Z206)</f>
        <v>724215.83952334477</v>
      </c>
      <c r="AA207" s="76">
        <f t="shared" ref="AA207:AD207" si="346">SUM(AA197:AA206)</f>
        <v>0</v>
      </c>
      <c r="AB207" s="76">
        <f t="shared" si="346"/>
        <v>0</v>
      </c>
      <c r="AC207" s="76">
        <f t="shared" si="346"/>
        <v>0</v>
      </c>
      <c r="AD207" s="76">
        <f t="shared" si="346"/>
        <v>724215.83952334477</v>
      </c>
      <c r="AE207" s="199"/>
      <c r="AF207" s="76">
        <f>SUM(AF197:AF206)</f>
        <v>500093.89510649402</v>
      </c>
      <c r="AG207" s="76">
        <f t="shared" ref="AG207:AJ207" si="347">SUM(AG197:AG206)</f>
        <v>0</v>
      </c>
      <c r="AH207" s="76">
        <f t="shared" si="347"/>
        <v>0</v>
      </c>
      <c r="AI207" s="76">
        <f t="shared" si="347"/>
        <v>0</v>
      </c>
      <c r="AJ207" s="76">
        <f t="shared" si="347"/>
        <v>500093.89510649402</v>
      </c>
      <c r="AL207" s="76">
        <f>SUM(AL197:AL206)</f>
        <v>0</v>
      </c>
      <c r="AM207" s="76">
        <f t="shared" ref="AM207:AP207" si="348">SUM(AM197:AM206)</f>
        <v>0</v>
      </c>
      <c r="AN207" s="76">
        <f t="shared" si="348"/>
        <v>0</v>
      </c>
      <c r="AO207" s="76">
        <f t="shared" si="348"/>
        <v>0</v>
      </c>
      <c r="AP207" s="76">
        <f t="shared" si="348"/>
        <v>0</v>
      </c>
      <c r="AR207" s="76">
        <f>SUM(AR197:AR206)</f>
        <v>3959743.2869636505</v>
      </c>
      <c r="AS207" s="76">
        <f t="shared" ref="AS207:AV207" si="349">SUM(AS197:AS206)</f>
        <v>0</v>
      </c>
      <c r="AT207" s="76">
        <f t="shared" si="349"/>
        <v>0</v>
      </c>
      <c r="AU207" s="76">
        <f t="shared" si="349"/>
        <v>0</v>
      </c>
      <c r="AV207" s="76">
        <f t="shared" si="349"/>
        <v>3959743.2869636505</v>
      </c>
    </row>
    <row r="208" spans="1:49" ht="16.5" thickBot="1" x14ac:dyDescent="0.3">
      <c r="B208" s="77"/>
      <c r="C208" s="77"/>
      <c r="D208" s="77"/>
      <c r="E208" s="77"/>
      <c r="F208" s="77"/>
      <c r="H208" s="77"/>
      <c r="I208" s="77"/>
      <c r="J208" s="77"/>
      <c r="K208" s="77"/>
      <c r="L208" s="77"/>
      <c r="N208" s="77"/>
      <c r="O208" s="77"/>
      <c r="P208" s="77"/>
      <c r="Q208" s="77"/>
      <c r="R208" s="77"/>
      <c r="T208" s="77"/>
      <c r="U208" s="77"/>
      <c r="V208" s="77"/>
      <c r="W208" s="77"/>
      <c r="X208" s="77"/>
      <c r="Y208" s="79"/>
      <c r="Z208" s="77"/>
      <c r="AA208" s="77"/>
      <c r="AB208" s="77"/>
      <c r="AC208" s="77"/>
      <c r="AD208" s="77"/>
      <c r="AE208" s="79"/>
      <c r="AF208" s="77"/>
      <c r="AG208" s="77"/>
      <c r="AH208" s="77"/>
      <c r="AI208" s="77"/>
      <c r="AJ208" s="77"/>
      <c r="AL208" s="77"/>
      <c r="AM208" s="77"/>
      <c r="AN208" s="77"/>
      <c r="AO208" s="77"/>
      <c r="AP208" s="77"/>
      <c r="AR208" s="77"/>
      <c r="AS208" s="77"/>
      <c r="AT208" s="77"/>
      <c r="AU208" s="77"/>
      <c r="AV208" s="77"/>
    </row>
    <row r="209" spans="1:49" ht="16.5" thickBot="1" x14ac:dyDescent="0.3">
      <c r="A209"/>
      <c r="B209" s="80">
        <f t="shared" ref="B209:F209" si="350">B207+B194+B171+B159+B149+B141+B132+B125+B116+B109</f>
        <v>11028137.197277078</v>
      </c>
      <c r="C209" s="80">
        <f t="shared" si="350"/>
        <v>1339163.1991077196</v>
      </c>
      <c r="D209" s="80">
        <f t="shared" si="350"/>
        <v>1263958</v>
      </c>
      <c r="E209" s="80">
        <f t="shared" si="350"/>
        <v>0</v>
      </c>
      <c r="F209" s="80">
        <f t="shared" si="350"/>
        <v>13631258.396384798</v>
      </c>
      <c r="H209" s="80">
        <f t="shared" ref="H209:L209" si="351">H207+H194+H171+H159+H149+H141+H132+H125+H116+H109</f>
        <v>10936513.542263092</v>
      </c>
      <c r="I209" s="80">
        <f t="shared" si="351"/>
        <v>1242237.1991077194</v>
      </c>
      <c r="J209" s="80">
        <f t="shared" si="351"/>
        <v>1072811.5</v>
      </c>
      <c r="K209" s="80">
        <f t="shared" si="351"/>
        <v>0</v>
      </c>
      <c r="L209" s="80">
        <f t="shared" si="351"/>
        <v>13251562.241370812</v>
      </c>
      <c r="N209" s="80">
        <f t="shared" ref="N209:R209" si="352">N207+N194+N171+N159+N149+N141+N132+N125+N116+N109</f>
        <v>24377927.394018911</v>
      </c>
      <c r="O209" s="80">
        <f t="shared" si="352"/>
        <v>3126519.5116613144</v>
      </c>
      <c r="P209" s="80">
        <f t="shared" si="352"/>
        <v>1921357</v>
      </c>
      <c r="Q209" s="80">
        <f t="shared" si="352"/>
        <v>0</v>
      </c>
      <c r="R209" s="80">
        <f t="shared" si="352"/>
        <v>29425803.905680224</v>
      </c>
      <c r="T209" s="80">
        <f t="shared" ref="T209:X209" si="353">T207+T194+T171+T159+T149+T141+T132+T125+T116+T109</f>
        <v>4355596.3663717126</v>
      </c>
      <c r="U209" s="80">
        <f t="shared" si="353"/>
        <v>650989.75</v>
      </c>
      <c r="V209" s="80">
        <f t="shared" si="353"/>
        <v>415475.3125</v>
      </c>
      <c r="W209" s="80">
        <f t="shared" si="353"/>
        <v>0</v>
      </c>
      <c r="X209" s="80">
        <f t="shared" si="353"/>
        <v>5422061.4288717126</v>
      </c>
      <c r="Y209" s="199"/>
      <c r="Z209" s="80">
        <f t="shared" ref="Z209:AD209" si="354">Z207+Z194+Z171+Z159+Z149+Z141+Z132+Z125+Z116+Z109</f>
        <v>11430726.978913441</v>
      </c>
      <c r="AA209" s="80">
        <f t="shared" si="354"/>
        <v>1515633</v>
      </c>
      <c r="AB209" s="80">
        <f t="shared" si="354"/>
        <v>1122941</v>
      </c>
      <c r="AC209" s="80">
        <f t="shared" si="354"/>
        <v>0</v>
      </c>
      <c r="AD209" s="80">
        <f t="shared" si="354"/>
        <v>14069300.978913441</v>
      </c>
      <c r="AE209" s="199"/>
      <c r="AF209" s="80">
        <f t="shared" ref="AF209:AJ209" si="355">AF207+AF194+AF171+AF159+AF149+AF141+AF132+AF125+AF116+AF109</f>
        <v>8673471.9165052827</v>
      </c>
      <c r="AG209" s="80">
        <f t="shared" si="355"/>
        <v>1162235.125</v>
      </c>
      <c r="AH209" s="80">
        <f t="shared" si="355"/>
        <v>865614.75</v>
      </c>
      <c r="AI209" s="80">
        <f t="shared" si="355"/>
        <v>0</v>
      </c>
      <c r="AJ209" s="80">
        <f t="shared" si="355"/>
        <v>10701321.791505283</v>
      </c>
      <c r="AL209" s="80">
        <f t="shared" ref="AL209:AP209" si="356">AL207+AL194+AL171+AL159+AL149+AL141+AL132+AL125+AL116+AL109</f>
        <v>367488.98238436214</v>
      </c>
      <c r="AM209" s="80">
        <f t="shared" si="356"/>
        <v>491070.0679445304</v>
      </c>
      <c r="AN209" s="80">
        <f t="shared" si="356"/>
        <v>110709.93051642724</v>
      </c>
      <c r="AO209" s="80">
        <f t="shared" si="356"/>
        <v>2060987.5</v>
      </c>
      <c r="AP209" s="80">
        <f t="shared" si="356"/>
        <v>3030256.48084532</v>
      </c>
      <c r="AR209" s="80">
        <f t="shared" ref="AR209:AV209" si="357">AR207+AR194+AR171+AR159+AR149+AR141+AR132+AR125+AR116+AR109</f>
        <v>71169862.377733886</v>
      </c>
      <c r="AS209" s="80">
        <f t="shared" si="357"/>
        <v>9527847.852821283</v>
      </c>
      <c r="AT209" s="80">
        <f t="shared" si="357"/>
        <v>6772867.4930164274</v>
      </c>
      <c r="AU209" s="80">
        <f t="shared" si="357"/>
        <v>2060987.5</v>
      </c>
      <c r="AV209" s="80">
        <f t="shared" si="357"/>
        <v>89531565.223571599</v>
      </c>
    </row>
    <row r="210" spans="1:49" ht="16.5" thickBot="1" x14ac:dyDescent="0.3">
      <c r="B210" s="77"/>
      <c r="C210" s="77"/>
      <c r="D210" s="77"/>
      <c r="E210" s="77"/>
      <c r="F210" s="77"/>
      <c r="H210" s="77"/>
      <c r="I210" s="77"/>
      <c r="J210" s="77"/>
      <c r="K210" s="77"/>
      <c r="L210" s="77"/>
      <c r="N210" s="77"/>
      <c r="O210" s="77"/>
      <c r="P210" s="77"/>
      <c r="Q210" s="77"/>
      <c r="R210" s="77"/>
      <c r="T210" s="77"/>
      <c r="U210" s="77"/>
      <c r="V210" s="77"/>
      <c r="W210" s="77"/>
      <c r="X210" s="77"/>
      <c r="Y210" s="79"/>
      <c r="Z210" s="77"/>
      <c r="AA210" s="77"/>
      <c r="AB210" s="77"/>
      <c r="AC210" s="77"/>
      <c r="AD210" s="77"/>
      <c r="AE210" s="79"/>
      <c r="AF210" s="77"/>
      <c r="AG210" s="77"/>
      <c r="AH210" s="77"/>
      <c r="AI210" s="77"/>
      <c r="AJ210" s="77"/>
      <c r="AL210" s="57"/>
      <c r="AM210" s="57"/>
      <c r="AN210" s="57"/>
      <c r="AO210" s="57"/>
      <c r="AP210" s="77"/>
      <c r="AR210" s="57"/>
      <c r="AS210" s="57"/>
      <c r="AT210" s="57"/>
      <c r="AU210" s="57"/>
      <c r="AV210" s="77"/>
    </row>
    <row r="211" spans="1:49" ht="16.5" thickBot="1" x14ac:dyDescent="0.3">
      <c r="A211" s="36"/>
      <c r="B211" s="81"/>
      <c r="C211" s="81"/>
      <c r="D211" s="81"/>
      <c r="E211" s="81"/>
      <c r="F211" s="81"/>
      <c r="H211" s="81"/>
      <c r="I211" s="81"/>
      <c r="J211" s="81"/>
      <c r="K211" s="81"/>
      <c r="L211" s="81"/>
      <c r="N211" s="81"/>
      <c r="O211" s="81"/>
      <c r="P211" s="81"/>
      <c r="Q211" s="81"/>
      <c r="R211" s="81"/>
      <c r="T211" s="81"/>
      <c r="U211" s="81"/>
      <c r="V211" s="81"/>
      <c r="W211" s="81"/>
      <c r="X211" s="81"/>
      <c r="Y211" s="194"/>
      <c r="Z211" s="81"/>
      <c r="AA211" s="81"/>
      <c r="AB211" s="81"/>
      <c r="AC211" s="81"/>
      <c r="AD211" s="81"/>
      <c r="AE211" s="194"/>
      <c r="AF211" s="81"/>
      <c r="AG211" s="81"/>
      <c r="AH211" s="81"/>
      <c r="AI211" s="81"/>
      <c r="AJ211" s="81"/>
      <c r="AL211" s="81"/>
      <c r="AM211" s="81"/>
      <c r="AN211" s="81"/>
      <c r="AO211" s="81"/>
      <c r="AP211" s="81"/>
      <c r="AR211" s="81"/>
      <c r="AS211" s="81"/>
      <c r="AT211" s="81"/>
      <c r="AU211" s="81"/>
      <c r="AV211" s="81"/>
    </row>
    <row r="212" spans="1:49" x14ac:dyDescent="0.25">
      <c r="A212" s="37" t="s">
        <v>153</v>
      </c>
      <c r="B212" s="82">
        <v>0</v>
      </c>
      <c r="C212" s="82"/>
      <c r="D212" s="82"/>
      <c r="E212" s="82"/>
      <c r="F212" s="82">
        <f>SUM(B212:E212)</f>
        <v>0</v>
      </c>
      <c r="H212" s="82">
        <v>0</v>
      </c>
      <c r="I212" s="82"/>
      <c r="J212" s="82"/>
      <c r="K212" s="82"/>
      <c r="L212" s="82">
        <f>SUM(H212:K212)</f>
        <v>0</v>
      </c>
      <c r="N212" s="82">
        <v>0</v>
      </c>
      <c r="O212" s="82"/>
      <c r="P212" s="82"/>
      <c r="Q212" s="82"/>
      <c r="R212" s="82">
        <f>SUM(N212:Q212)</f>
        <v>0</v>
      </c>
      <c r="T212" s="82">
        <v>0</v>
      </c>
      <c r="U212" s="82"/>
      <c r="V212" s="82"/>
      <c r="W212" s="82"/>
      <c r="X212" s="82">
        <f>SUM(T212:W212)</f>
        <v>0</v>
      </c>
      <c r="Y212" s="194"/>
      <c r="Z212" s="82">
        <f>1400000+1700000</f>
        <v>3100000</v>
      </c>
      <c r="AA212" s="82"/>
      <c r="AB212" s="82"/>
      <c r="AC212" s="82"/>
      <c r="AD212" s="82">
        <f>SUM(Z212:AC212)</f>
        <v>3100000</v>
      </c>
      <c r="AE212" s="194"/>
      <c r="AF212" s="82">
        <v>2700000</v>
      </c>
      <c r="AG212" s="82"/>
      <c r="AH212" s="82"/>
      <c r="AI212" s="82"/>
      <c r="AJ212" s="82">
        <f>SUM(AF212:AI212)</f>
        <v>2700000</v>
      </c>
      <c r="AL212" s="82"/>
      <c r="AM212" s="82"/>
      <c r="AN212" s="82"/>
      <c r="AO212" s="82"/>
      <c r="AP212" s="82">
        <f>SUM(AL212:AO212)</f>
        <v>0</v>
      </c>
      <c r="AR212" s="82">
        <f>B212+H212+N212+T212+AL212+AF212+Z212</f>
        <v>5800000</v>
      </c>
      <c r="AS212" s="82">
        <f t="shared" ref="AS212:AU215" si="358">C212+I212+O212+U212+AM212+AG212+AA212</f>
        <v>0</v>
      </c>
      <c r="AT212" s="82">
        <f t="shared" si="358"/>
        <v>0</v>
      </c>
      <c r="AU212" s="82">
        <f t="shared" si="358"/>
        <v>0</v>
      </c>
      <c r="AV212" s="82">
        <f>SUM(AR212:AU212)</f>
        <v>5800000</v>
      </c>
    </row>
    <row r="213" spans="1:49" x14ac:dyDescent="0.25">
      <c r="A213" s="38" t="s">
        <v>154</v>
      </c>
      <c r="B213" s="83">
        <v>385000</v>
      </c>
      <c r="C213" s="83"/>
      <c r="D213" s="83"/>
      <c r="E213" s="83"/>
      <c r="F213" s="82">
        <f t="shared" ref="F213:F215" si="359">SUM(B213:E213)</f>
        <v>385000</v>
      </c>
      <c r="H213" s="83">
        <v>360000</v>
      </c>
      <c r="I213" s="83"/>
      <c r="J213" s="83"/>
      <c r="K213" s="83"/>
      <c r="L213" s="82">
        <f t="shared" ref="L213:L215" si="360">SUM(H213:K213)</f>
        <v>360000</v>
      </c>
      <c r="N213" s="83">
        <v>1082500</v>
      </c>
      <c r="O213" s="83"/>
      <c r="P213" s="83"/>
      <c r="Q213" s="83"/>
      <c r="R213" s="82">
        <f t="shared" ref="R213:R215" si="361">SUM(N213:Q213)</f>
        <v>1082500</v>
      </c>
      <c r="T213" s="83">
        <v>220000</v>
      </c>
      <c r="U213" s="83"/>
      <c r="V213" s="83"/>
      <c r="W213" s="83"/>
      <c r="X213" s="82">
        <f t="shared" ref="X213:X215" si="362">SUM(T213:W213)</f>
        <v>220000</v>
      </c>
      <c r="Y213" s="194"/>
      <c r="Z213" s="83"/>
      <c r="AA213" s="83"/>
      <c r="AB213" s="83"/>
      <c r="AC213" s="83"/>
      <c r="AD213" s="82">
        <f t="shared" ref="AD213:AD215" si="363">SUM(Z213:AC213)</f>
        <v>0</v>
      </c>
      <c r="AE213" s="194"/>
      <c r="AF213" s="83"/>
      <c r="AG213" s="83"/>
      <c r="AH213" s="83"/>
      <c r="AI213" s="83"/>
      <c r="AJ213" s="82">
        <f t="shared" ref="AJ213:AJ215" si="364">SUM(AF213:AI213)</f>
        <v>0</v>
      </c>
      <c r="AL213" s="83"/>
      <c r="AM213" s="83"/>
      <c r="AN213" s="83"/>
      <c r="AO213" s="83"/>
      <c r="AP213" s="82">
        <f t="shared" ref="AP213:AP215" si="365">SUM(AL213:AO213)</f>
        <v>0</v>
      </c>
      <c r="AR213" s="82">
        <f t="shared" ref="AR213:AR215" si="366">B213+H213+N213+T213+AL213+AF213+Z213</f>
        <v>2047500</v>
      </c>
      <c r="AS213" s="82">
        <f t="shared" si="358"/>
        <v>0</v>
      </c>
      <c r="AT213" s="82">
        <f t="shared" si="358"/>
        <v>0</v>
      </c>
      <c r="AU213" s="82">
        <f t="shared" si="358"/>
        <v>0</v>
      </c>
      <c r="AV213" s="82">
        <f t="shared" ref="AV213:AV215" si="367">SUM(AR213:AU213)</f>
        <v>2047500</v>
      </c>
      <c r="AW213" s="166"/>
    </row>
    <row r="214" spans="1:49" x14ac:dyDescent="0.25">
      <c r="A214" s="38" t="s">
        <v>155</v>
      </c>
      <c r="B214" s="83">
        <v>638044</v>
      </c>
      <c r="C214" s="83"/>
      <c r="D214" s="83"/>
      <c r="E214" s="83"/>
      <c r="F214" s="82">
        <f t="shared" si="359"/>
        <v>638044</v>
      </c>
      <c r="H214" s="83">
        <v>626000</v>
      </c>
      <c r="I214" s="83"/>
      <c r="J214" s="83"/>
      <c r="K214" s="83"/>
      <c r="L214" s="82">
        <f t="shared" si="360"/>
        <v>626000</v>
      </c>
      <c r="N214" s="83">
        <v>2538375</v>
      </c>
      <c r="O214" s="83"/>
      <c r="P214" s="83"/>
      <c r="Q214" s="83"/>
      <c r="R214" s="82">
        <f t="shared" si="361"/>
        <v>2538375</v>
      </c>
      <c r="T214" s="83">
        <v>1062000</v>
      </c>
      <c r="U214" s="83"/>
      <c r="V214" s="83"/>
      <c r="W214" s="83"/>
      <c r="X214" s="82">
        <f t="shared" si="362"/>
        <v>1062000</v>
      </c>
      <c r="Y214" s="194"/>
      <c r="Z214" s="83"/>
      <c r="AA214" s="83"/>
      <c r="AB214" s="83"/>
      <c r="AC214" s="83"/>
      <c r="AD214" s="82">
        <f t="shared" si="363"/>
        <v>0</v>
      </c>
      <c r="AE214" s="194"/>
      <c r="AF214" s="83"/>
      <c r="AG214" s="83"/>
      <c r="AH214" s="83"/>
      <c r="AI214" s="83"/>
      <c r="AJ214" s="82">
        <f t="shared" si="364"/>
        <v>0</v>
      </c>
      <c r="AL214" s="83"/>
      <c r="AM214" s="83"/>
      <c r="AN214" s="83"/>
      <c r="AO214" s="83"/>
      <c r="AP214" s="82">
        <f t="shared" si="365"/>
        <v>0</v>
      </c>
      <c r="AR214" s="82">
        <f t="shared" si="366"/>
        <v>4864419</v>
      </c>
      <c r="AS214" s="82">
        <f t="shared" si="358"/>
        <v>0</v>
      </c>
      <c r="AT214" s="82">
        <f t="shared" si="358"/>
        <v>0</v>
      </c>
      <c r="AU214" s="82">
        <f t="shared" si="358"/>
        <v>0</v>
      </c>
      <c r="AV214" s="82">
        <f t="shared" si="367"/>
        <v>4864419</v>
      </c>
      <c r="AW214" s="166"/>
    </row>
    <row r="215" spans="1:49" x14ac:dyDescent="0.25">
      <c r="A215" s="39" t="s">
        <v>156</v>
      </c>
      <c r="B215" s="84">
        <v>0</v>
      </c>
      <c r="C215" s="84"/>
      <c r="D215" s="84"/>
      <c r="E215" s="84"/>
      <c r="F215" s="82">
        <f t="shared" si="359"/>
        <v>0</v>
      </c>
      <c r="H215" s="84">
        <v>0</v>
      </c>
      <c r="I215" s="84"/>
      <c r="J215" s="84"/>
      <c r="K215" s="84"/>
      <c r="L215" s="82">
        <f t="shared" si="360"/>
        <v>0</v>
      </c>
      <c r="N215" s="84">
        <v>0</v>
      </c>
      <c r="O215" s="84"/>
      <c r="P215" s="84"/>
      <c r="Q215" s="84"/>
      <c r="R215" s="82">
        <f t="shared" si="361"/>
        <v>0</v>
      </c>
      <c r="T215" s="84">
        <v>0</v>
      </c>
      <c r="U215" s="84"/>
      <c r="V215" s="84"/>
      <c r="W215" s="84"/>
      <c r="X215" s="82">
        <f t="shared" si="362"/>
        <v>0</v>
      </c>
      <c r="Y215" s="194"/>
      <c r="Z215" s="84">
        <v>0</v>
      </c>
      <c r="AA215" s="84"/>
      <c r="AB215" s="84"/>
      <c r="AC215" s="84"/>
      <c r="AD215" s="82">
        <f t="shared" si="363"/>
        <v>0</v>
      </c>
      <c r="AE215" s="194"/>
      <c r="AF215" s="84">
        <v>0</v>
      </c>
      <c r="AG215" s="84"/>
      <c r="AH215" s="84"/>
      <c r="AI215" s="84"/>
      <c r="AJ215" s="82">
        <f t="shared" si="364"/>
        <v>0</v>
      </c>
      <c r="AL215" s="84"/>
      <c r="AM215" s="84"/>
      <c r="AN215" s="84"/>
      <c r="AO215" s="84"/>
      <c r="AP215" s="82">
        <f t="shared" si="365"/>
        <v>0</v>
      </c>
      <c r="AR215" s="82">
        <f t="shared" si="366"/>
        <v>0</v>
      </c>
      <c r="AS215" s="82">
        <f t="shared" si="358"/>
        <v>0</v>
      </c>
      <c r="AT215" s="82">
        <f t="shared" si="358"/>
        <v>0</v>
      </c>
      <c r="AU215" s="82">
        <f t="shared" si="358"/>
        <v>0</v>
      </c>
      <c r="AV215" s="82">
        <f t="shared" si="367"/>
        <v>0</v>
      </c>
    </row>
    <row r="216" spans="1:49" x14ac:dyDescent="0.25">
      <c r="A216" s="27"/>
      <c r="B216" s="76">
        <f>SUM(B212:B215)</f>
        <v>1023044</v>
      </c>
      <c r="C216" s="76">
        <f t="shared" ref="C216:F216" si="368">SUM(C212:C215)</f>
        <v>0</v>
      </c>
      <c r="D216" s="76">
        <f t="shared" si="368"/>
        <v>0</v>
      </c>
      <c r="E216" s="76">
        <f t="shared" si="368"/>
        <v>0</v>
      </c>
      <c r="F216" s="76">
        <f t="shared" si="368"/>
        <v>1023044</v>
      </c>
      <c r="H216" s="76">
        <f>SUM(H212:H215)</f>
        <v>986000</v>
      </c>
      <c r="I216" s="76">
        <f t="shared" ref="I216:L216" si="369">SUM(I212:I215)</f>
        <v>0</v>
      </c>
      <c r="J216" s="76">
        <f t="shared" si="369"/>
        <v>0</v>
      </c>
      <c r="K216" s="76">
        <f t="shared" si="369"/>
        <v>0</v>
      </c>
      <c r="L216" s="76">
        <f t="shared" si="369"/>
        <v>986000</v>
      </c>
      <c r="N216" s="76">
        <f>SUM(N212:N215)</f>
        <v>3620875</v>
      </c>
      <c r="O216" s="76">
        <f t="shared" ref="O216:R216" si="370">SUM(O212:O215)</f>
        <v>0</v>
      </c>
      <c r="P216" s="76">
        <f t="shared" si="370"/>
        <v>0</v>
      </c>
      <c r="Q216" s="76">
        <f t="shared" si="370"/>
        <v>0</v>
      </c>
      <c r="R216" s="76">
        <f t="shared" si="370"/>
        <v>3620875</v>
      </c>
      <c r="T216" s="76">
        <f t="shared" ref="T216:X216" si="371">SUM(T212:T215)</f>
        <v>1282000</v>
      </c>
      <c r="U216" s="76">
        <f t="shared" si="371"/>
        <v>0</v>
      </c>
      <c r="V216" s="76">
        <f t="shared" si="371"/>
        <v>0</v>
      </c>
      <c r="W216" s="76">
        <f t="shared" si="371"/>
        <v>0</v>
      </c>
      <c r="X216" s="76">
        <f t="shared" si="371"/>
        <v>1282000</v>
      </c>
      <c r="Y216" s="199"/>
      <c r="Z216" s="76">
        <f t="shared" ref="Z216:AD216" si="372">SUM(Z212:Z215)</f>
        <v>3100000</v>
      </c>
      <c r="AA216" s="76">
        <f t="shared" si="372"/>
        <v>0</v>
      </c>
      <c r="AB216" s="76">
        <f t="shared" si="372"/>
        <v>0</v>
      </c>
      <c r="AC216" s="76">
        <f t="shared" si="372"/>
        <v>0</v>
      </c>
      <c r="AD216" s="76">
        <f t="shared" si="372"/>
        <v>3100000</v>
      </c>
      <c r="AE216" s="199"/>
      <c r="AF216" s="76">
        <f t="shared" ref="AF216:AJ216" si="373">SUM(AF212:AF215)</f>
        <v>2700000</v>
      </c>
      <c r="AG216" s="76">
        <f t="shared" si="373"/>
        <v>0</v>
      </c>
      <c r="AH216" s="76">
        <f t="shared" si="373"/>
        <v>0</v>
      </c>
      <c r="AI216" s="76">
        <f t="shared" si="373"/>
        <v>0</v>
      </c>
      <c r="AJ216" s="76">
        <f t="shared" si="373"/>
        <v>2700000</v>
      </c>
      <c r="AL216" s="76">
        <f>SUM(AL212:AL215)</f>
        <v>0</v>
      </c>
      <c r="AM216" s="76">
        <f t="shared" ref="AM216:AP216" si="374">SUM(AM212:AM215)</f>
        <v>0</v>
      </c>
      <c r="AN216" s="76">
        <f t="shared" si="374"/>
        <v>0</v>
      </c>
      <c r="AO216" s="76">
        <f t="shared" si="374"/>
        <v>0</v>
      </c>
      <c r="AP216" s="76">
        <f t="shared" si="374"/>
        <v>0</v>
      </c>
      <c r="AR216" s="76">
        <f>SUM(AR212:AR215)</f>
        <v>12711919</v>
      </c>
      <c r="AS216" s="76">
        <f t="shared" ref="AS216:AV216" si="375">SUM(AS212:AS215)</f>
        <v>0</v>
      </c>
      <c r="AT216" s="76">
        <f t="shared" si="375"/>
        <v>0</v>
      </c>
      <c r="AU216" s="76">
        <f t="shared" si="375"/>
        <v>0</v>
      </c>
      <c r="AV216" s="76">
        <f t="shared" si="375"/>
        <v>12711919</v>
      </c>
    </row>
    <row r="217" spans="1:49" ht="16.5" thickBot="1" x14ac:dyDescent="0.3">
      <c r="B217" s="77"/>
      <c r="C217" s="77"/>
      <c r="D217" s="77"/>
      <c r="E217" s="77"/>
      <c r="F217" s="77"/>
      <c r="H217" s="77"/>
      <c r="I217" s="77"/>
      <c r="J217" s="77"/>
      <c r="K217" s="77"/>
      <c r="L217" s="77"/>
      <c r="N217" s="77"/>
      <c r="O217" s="77"/>
      <c r="P217" s="77"/>
      <c r="Q217" s="77"/>
      <c r="R217" s="77"/>
      <c r="T217" s="77"/>
      <c r="U217" s="77"/>
      <c r="V217" s="77"/>
      <c r="W217" s="77"/>
      <c r="X217" s="77"/>
      <c r="Y217" s="79"/>
      <c r="Z217" s="77"/>
      <c r="AA217" s="77"/>
      <c r="AB217" s="77"/>
      <c r="AC217" s="77"/>
      <c r="AD217" s="77"/>
      <c r="AE217" s="79"/>
      <c r="AF217" s="77"/>
      <c r="AG217" s="77"/>
      <c r="AH217" s="77"/>
      <c r="AI217" s="77"/>
      <c r="AJ217" s="77"/>
      <c r="AL217" s="77"/>
      <c r="AM217" s="77"/>
      <c r="AN217" s="77"/>
      <c r="AO217" s="77"/>
      <c r="AP217" s="77"/>
      <c r="AR217" s="77"/>
      <c r="AS217" s="77"/>
      <c r="AT217" s="77"/>
      <c r="AU217" s="77"/>
      <c r="AV217" s="77"/>
    </row>
    <row r="218" spans="1:49" ht="16.5" thickBot="1" x14ac:dyDescent="0.3">
      <c r="A218" s="40"/>
      <c r="B218" s="85">
        <f t="shared" ref="B218:F218" si="376">(B82+B88)-(B216+B209)</f>
        <v>459267.30272292159</v>
      </c>
      <c r="C218" s="85">
        <f t="shared" si="376"/>
        <v>-401652.19910771959</v>
      </c>
      <c r="D218" s="85">
        <f t="shared" si="376"/>
        <v>-52331.998300000094</v>
      </c>
      <c r="E218" s="85">
        <f t="shared" si="376"/>
        <v>0</v>
      </c>
      <c r="F218" s="85">
        <f t="shared" si="376"/>
        <v>5283.1053152009845</v>
      </c>
      <c r="H218" s="85">
        <f t="shared" ref="H218:L218" si="377">(H82+H88)-(H216+H209)</f>
        <v>579522.95773690753</v>
      </c>
      <c r="I218" s="85">
        <f t="shared" si="377"/>
        <v>-304726.19910771935</v>
      </c>
      <c r="J218" s="85">
        <f t="shared" si="377"/>
        <v>-77500.748499999987</v>
      </c>
      <c r="K218" s="85">
        <f t="shared" si="377"/>
        <v>0</v>
      </c>
      <c r="L218" s="85">
        <f t="shared" si="377"/>
        <v>197296.01012918726</v>
      </c>
      <c r="N218" s="85">
        <f t="shared" ref="N218:Q218" si="378">(N82+N88)-(N216+N209)</f>
        <v>1752750.3559810892</v>
      </c>
      <c r="O218" s="85">
        <f t="shared" si="378"/>
        <v>-829662.51166131441</v>
      </c>
      <c r="P218" s="85">
        <f t="shared" si="378"/>
        <v>-375185.09800000023</v>
      </c>
      <c r="Q218" s="85">
        <f t="shared" si="378"/>
        <v>0</v>
      </c>
      <c r="R218" s="85">
        <f>(R82+R88)-(R216+R209)</f>
        <v>547902.74631977826</v>
      </c>
      <c r="T218" s="85">
        <f t="shared" ref="T218:X218" si="379">(T82+T88)-(T216+T209)</f>
        <v>350498.63362828735</v>
      </c>
      <c r="U218" s="85">
        <f t="shared" si="379"/>
        <v>-341869.75</v>
      </c>
      <c r="V218" s="85">
        <f t="shared" si="379"/>
        <v>44874.6875</v>
      </c>
      <c r="W218" s="85">
        <f t="shared" si="379"/>
        <v>0</v>
      </c>
      <c r="X218" s="85">
        <f t="shared" si="379"/>
        <v>53503.571128287353</v>
      </c>
      <c r="Y218" s="199"/>
      <c r="Z218" s="85">
        <f t="shared" ref="Z218:AD218" si="380">(Z82+Z88)-(Z216+Z209)</f>
        <v>1044361.1460865587</v>
      </c>
      <c r="AA218" s="85">
        <f t="shared" si="380"/>
        <v>-846003</v>
      </c>
      <c r="AB218" s="85">
        <f t="shared" si="380"/>
        <v>-68501.000000000233</v>
      </c>
      <c r="AC218" s="85">
        <f t="shared" si="380"/>
        <v>0</v>
      </c>
      <c r="AD218" s="85">
        <f t="shared" si="380"/>
        <v>129857.1460865587</v>
      </c>
      <c r="AE218" s="199"/>
      <c r="AF218" s="85">
        <f t="shared" ref="AF218:AJ218" si="381">(AF82+AF88)-(AF216+AF209)</f>
        <v>726794.95849471726</v>
      </c>
      <c r="AG218" s="85">
        <f t="shared" si="381"/>
        <v>-530860.125</v>
      </c>
      <c r="AH218" s="85">
        <f t="shared" si="381"/>
        <v>-64164.75</v>
      </c>
      <c r="AI218" s="85">
        <f t="shared" si="381"/>
        <v>0</v>
      </c>
      <c r="AJ218" s="85">
        <f t="shared" si="381"/>
        <v>131770.08349471726</v>
      </c>
      <c r="AL218" s="85">
        <f t="shared" ref="AL218:AP218" si="382">(AL82+AL88)-(AL216+AL209)</f>
        <v>-367488.98238436214</v>
      </c>
      <c r="AM218" s="85">
        <f t="shared" si="382"/>
        <v>-491070.0679445304</v>
      </c>
      <c r="AN218" s="85">
        <f t="shared" si="382"/>
        <v>-110709.93051642724</v>
      </c>
      <c r="AO218" s="85">
        <f t="shared" si="382"/>
        <v>-67665.5</v>
      </c>
      <c r="AP218" s="85">
        <f t="shared" si="382"/>
        <v>-1036934.48084532</v>
      </c>
      <c r="AR218" s="85">
        <f t="shared" ref="AR218:AV218" si="383">(AR82+AR88)-(AR216+AR209)</f>
        <v>4545706.3722661138</v>
      </c>
      <c r="AS218" s="85">
        <f t="shared" si="383"/>
        <v>-3745843.852821283</v>
      </c>
      <c r="AT218" s="85">
        <f t="shared" si="383"/>
        <v>-703518.83781642839</v>
      </c>
      <c r="AU218" s="85">
        <f t="shared" si="383"/>
        <v>-67665.5</v>
      </c>
      <c r="AV218" s="85">
        <f t="shared" si="383"/>
        <v>28678.181628406048</v>
      </c>
    </row>
    <row r="219" spans="1:49" x14ac:dyDescent="0.25">
      <c r="B219" s="77"/>
      <c r="C219" s="77"/>
      <c r="D219" s="77"/>
      <c r="E219" s="77"/>
      <c r="F219" s="77"/>
      <c r="H219" s="77"/>
      <c r="I219" s="77"/>
      <c r="J219" s="77"/>
      <c r="K219" s="77"/>
      <c r="L219" s="77"/>
      <c r="N219" s="77"/>
      <c r="O219" s="77"/>
      <c r="P219" s="77"/>
      <c r="Q219" s="77"/>
      <c r="R219" s="77"/>
      <c r="T219" s="77"/>
      <c r="U219" s="77"/>
      <c r="V219" s="77"/>
      <c r="W219" s="77"/>
      <c r="X219" s="77"/>
      <c r="Y219" s="79"/>
      <c r="Z219" s="77"/>
      <c r="AA219" s="77"/>
      <c r="AB219" s="77"/>
      <c r="AC219" s="77"/>
      <c r="AD219" s="77"/>
      <c r="AE219" s="79"/>
      <c r="AF219" s="77"/>
      <c r="AG219" s="77"/>
      <c r="AH219" s="77"/>
      <c r="AI219" s="77"/>
      <c r="AJ219" s="77"/>
      <c r="AL219" s="77"/>
      <c r="AM219" s="77"/>
      <c r="AN219" s="77"/>
      <c r="AO219" s="77"/>
      <c r="AP219" s="77"/>
      <c r="AR219" s="77"/>
      <c r="AS219" s="77"/>
      <c r="AT219" s="77"/>
      <c r="AU219" s="77"/>
      <c r="AV219" s="77"/>
    </row>
    <row r="220" spans="1:49" x14ac:dyDescent="0.25">
      <c r="A220" s="41" t="str">
        <f>A1</f>
        <v>Mater Academy - System</v>
      </c>
      <c r="B220" s="86" t="str">
        <f t="shared" ref="B220:F220" si="384">B20</f>
        <v>Operating</v>
      </c>
      <c r="C220" s="86" t="str">
        <f t="shared" si="384"/>
        <v>SPED</v>
      </c>
      <c r="D220" s="86" t="str">
        <f t="shared" si="384"/>
        <v>NSLP</v>
      </c>
      <c r="E220" s="86" t="str">
        <f t="shared" si="384"/>
        <v>Other</v>
      </c>
      <c r="F220" s="86" t="str">
        <f t="shared" si="384"/>
        <v>FY31- Mtn</v>
      </c>
      <c r="H220" s="86" t="str">
        <f t="shared" ref="H220:L220" si="385">H20</f>
        <v>Operating</v>
      </c>
      <c r="I220" s="86" t="str">
        <f t="shared" si="385"/>
        <v>SPED</v>
      </c>
      <c r="J220" s="86" t="str">
        <f t="shared" si="385"/>
        <v>NSLP</v>
      </c>
      <c r="K220" s="86" t="str">
        <f t="shared" si="385"/>
        <v>Other</v>
      </c>
      <c r="L220" s="86" t="str">
        <f t="shared" si="385"/>
        <v>FY31- Bon</v>
      </c>
      <c r="N220" s="86" t="str">
        <f t="shared" ref="N220:R220" si="386">N20</f>
        <v>Operating</v>
      </c>
      <c r="O220" s="86" t="str">
        <f t="shared" si="386"/>
        <v>SPED</v>
      </c>
      <c r="P220" s="86" t="str">
        <f t="shared" si="386"/>
        <v>NSLP</v>
      </c>
      <c r="Q220" s="86" t="str">
        <f t="shared" si="386"/>
        <v>Other</v>
      </c>
      <c r="R220" s="86" t="str">
        <f t="shared" si="386"/>
        <v>FY31- East</v>
      </c>
      <c r="T220" s="86" t="str">
        <f t="shared" ref="T220:X220" si="387">T20</f>
        <v>Operating</v>
      </c>
      <c r="U220" s="86" t="str">
        <f t="shared" si="387"/>
        <v>SPED</v>
      </c>
      <c r="V220" s="86" t="str">
        <f t="shared" si="387"/>
        <v>NSLP</v>
      </c>
      <c r="W220" s="86" t="str">
        <f t="shared" si="387"/>
        <v>Other</v>
      </c>
      <c r="X220" s="86" t="str">
        <f t="shared" si="387"/>
        <v>FY31- Cactus</v>
      </c>
      <c r="Y220" s="202"/>
      <c r="Z220" s="86" t="str">
        <f t="shared" ref="Z220:AD220" si="388">Z20</f>
        <v>Operating</v>
      </c>
      <c r="AA220" s="86" t="str">
        <f t="shared" si="388"/>
        <v>SPED</v>
      </c>
      <c r="AB220" s="86" t="str">
        <f t="shared" si="388"/>
        <v>NSLP</v>
      </c>
      <c r="AC220" s="86" t="str">
        <f t="shared" si="388"/>
        <v>Other</v>
      </c>
      <c r="AD220" s="86" t="str">
        <f t="shared" si="388"/>
        <v>FY31- Sahara</v>
      </c>
      <c r="AE220" s="202"/>
      <c r="AF220" s="86" t="str">
        <f t="shared" ref="AF220:AJ220" si="389">AF20</f>
        <v>Operating</v>
      </c>
      <c r="AG220" s="86" t="str">
        <f t="shared" si="389"/>
        <v>SPED</v>
      </c>
      <c r="AH220" s="86" t="str">
        <f t="shared" si="389"/>
        <v>NSLP</v>
      </c>
      <c r="AI220" s="86" t="str">
        <f t="shared" si="389"/>
        <v>Other</v>
      </c>
      <c r="AJ220" s="86" t="str">
        <f t="shared" si="389"/>
        <v>FY31- VV</v>
      </c>
      <c r="AL220" s="86" t="str">
        <f t="shared" ref="AL220:AP220" si="390">AL20</f>
        <v>Operating</v>
      </c>
      <c r="AM220" s="86" t="str">
        <f t="shared" si="390"/>
        <v>SPED</v>
      </c>
      <c r="AN220" s="86" t="str">
        <f t="shared" si="390"/>
        <v>NSLP</v>
      </c>
      <c r="AO220" s="86" t="str">
        <f t="shared" si="390"/>
        <v>Grant</v>
      </c>
      <c r="AP220" s="86" t="str">
        <f t="shared" si="390"/>
        <v>FY31 - Central</v>
      </c>
      <c r="AR220" s="86" t="str">
        <f t="shared" ref="AR220:AV220" si="391">AR20</f>
        <v>Operating</v>
      </c>
      <c r="AS220" s="86" t="str">
        <f t="shared" si="391"/>
        <v>SPED</v>
      </c>
      <c r="AT220" s="86" t="str">
        <f t="shared" si="391"/>
        <v>NSLP</v>
      </c>
      <c r="AU220" s="86" t="str">
        <f t="shared" si="391"/>
        <v>Other</v>
      </c>
      <c r="AV220" s="86" t="str">
        <f t="shared" si="391"/>
        <v>FY31- Sys</v>
      </c>
    </row>
    <row r="221" spans="1:49" x14ac:dyDescent="0.25">
      <c r="H221" s="57"/>
      <c r="I221" s="57"/>
      <c r="J221" s="57"/>
      <c r="K221" s="57"/>
    </row>
    <row r="222" spans="1:49" x14ac:dyDescent="0.25">
      <c r="Z222" s="220">
        <f>Z212/(Z82+AA82)</f>
        <v>0.19083125826783159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CE3B-BD8D-42A9-B9E4-C865CC0AD549}">
  <dimension ref="Z1:AD220"/>
  <sheetViews>
    <sheetView topLeftCell="H191" workbookViewId="0">
      <selection activeCell="Z12" sqref="Z12"/>
    </sheetView>
  </sheetViews>
  <sheetFormatPr defaultRowHeight="15" x14ac:dyDescent="0.25"/>
  <cols>
    <col min="26" max="30" width="19.42578125" customWidth="1"/>
  </cols>
  <sheetData>
    <row r="1" spans="26:28" ht="15.75" x14ac:dyDescent="0.25">
      <c r="Z1" s="1" t="s">
        <v>321</v>
      </c>
      <c r="AA1" s="57"/>
    </row>
    <row r="2" spans="26:28" ht="15.75" x14ac:dyDescent="0.25">
      <c r="Z2" s="42">
        <f>T2</f>
        <v>0</v>
      </c>
      <c r="AA2" s="57"/>
    </row>
    <row r="3" spans="26:28" ht="15.75" x14ac:dyDescent="0.25">
      <c r="Z3" s="43">
        <f>Z4+Z5+Z6+Z7+Z8+Z9+Z10+Z11+Z12+Z13+Z14+Z15+Z16</f>
        <v>1012</v>
      </c>
      <c r="AA3" s="90"/>
    </row>
    <row r="4" spans="26:28" x14ac:dyDescent="0.25">
      <c r="Z4" s="44">
        <v>100</v>
      </c>
      <c r="AA4" s="92">
        <v>4</v>
      </c>
    </row>
    <row r="5" spans="26:28" x14ac:dyDescent="0.25">
      <c r="Z5" s="44">
        <f>27*4</f>
        <v>108</v>
      </c>
      <c r="AA5" s="92">
        <v>4</v>
      </c>
    </row>
    <row r="6" spans="26:28" x14ac:dyDescent="0.25">
      <c r="Z6" s="44">
        <f>27*4</f>
        <v>108</v>
      </c>
      <c r="AA6" s="92">
        <v>4</v>
      </c>
      <c r="AB6" s="166"/>
    </row>
    <row r="7" spans="26:28" x14ac:dyDescent="0.25">
      <c r="Z7" s="44">
        <f>27*4</f>
        <v>108</v>
      </c>
      <c r="AA7" s="92">
        <v>4</v>
      </c>
      <c r="AB7" s="166"/>
    </row>
    <row r="8" spans="26:28" x14ac:dyDescent="0.25">
      <c r="Z8" s="44">
        <v>108</v>
      </c>
      <c r="AA8" s="92">
        <v>4</v>
      </c>
      <c r="AB8" s="166"/>
    </row>
    <row r="9" spans="26:28" x14ac:dyDescent="0.25">
      <c r="Z9" s="44">
        <v>108</v>
      </c>
      <c r="AA9" s="92">
        <v>4</v>
      </c>
      <c r="AB9" s="166"/>
    </row>
    <row r="10" spans="26:28" x14ac:dyDescent="0.25">
      <c r="Z10" s="44">
        <v>124</v>
      </c>
      <c r="AA10" s="92">
        <v>4</v>
      </c>
    </row>
    <row r="11" spans="26:28" x14ac:dyDescent="0.25">
      <c r="Z11" s="44">
        <v>124</v>
      </c>
      <c r="AA11" s="92">
        <v>4</v>
      </c>
    </row>
    <row r="12" spans="26:28" x14ac:dyDescent="0.25">
      <c r="Z12" s="44">
        <v>124</v>
      </c>
      <c r="AA12" s="92">
        <v>4</v>
      </c>
    </row>
    <row r="13" spans="26:28" ht="15.75" x14ac:dyDescent="0.25">
      <c r="Z13" s="45">
        <v>0</v>
      </c>
      <c r="AA13" s="92"/>
    </row>
    <row r="14" spans="26:28" ht="15.75" x14ac:dyDescent="0.25">
      <c r="Z14" s="45">
        <v>0</v>
      </c>
      <c r="AA14" s="92"/>
    </row>
    <row r="15" spans="26:28" ht="15.75" x14ac:dyDescent="0.25">
      <c r="Z15" s="45">
        <v>0</v>
      </c>
      <c r="AA15" s="92"/>
    </row>
    <row r="16" spans="26:28" ht="15.75" x14ac:dyDescent="0.25">
      <c r="Z16" s="45">
        <v>0</v>
      </c>
      <c r="AA16" s="92"/>
    </row>
    <row r="17" spans="26:30" ht="15.75" x14ac:dyDescent="0.25">
      <c r="Z17" s="43">
        <f>SUM(Z4:Z16)</f>
        <v>1012</v>
      </c>
      <c r="AA17" s="92">
        <f>SUM(AA4:AA16)</f>
        <v>36</v>
      </c>
      <c r="AB17" s="151">
        <f>Z17*0.35</f>
        <v>354.2</v>
      </c>
    </row>
    <row r="18" spans="26:30" x14ac:dyDescent="0.25">
      <c r="AB18" s="151">
        <f>Z17*0.12</f>
        <v>121.44</v>
      </c>
    </row>
    <row r="20" spans="26:30" ht="15.75" x14ac:dyDescent="0.25">
      <c r="Z20" s="46" t="s">
        <v>157</v>
      </c>
      <c r="AA20" s="46" t="s">
        <v>158</v>
      </c>
      <c r="AB20" s="46" t="s">
        <v>159</v>
      </c>
      <c r="AC20" s="46" t="s">
        <v>160</v>
      </c>
      <c r="AD20" s="46" t="s">
        <v>310</v>
      </c>
    </row>
    <row r="21" spans="26:30" ht="15.75" x14ac:dyDescent="0.25">
      <c r="Z21" s="45"/>
      <c r="AA21" s="45">
        <v>125</v>
      </c>
      <c r="AB21" s="45"/>
      <c r="AC21" s="45"/>
      <c r="AD21" s="45">
        <f>SUM(Z21:AC21)</f>
        <v>125</v>
      </c>
    </row>
    <row r="22" spans="26:30" ht="15.75" x14ac:dyDescent="0.25">
      <c r="Z22" s="45">
        <v>330</v>
      </c>
      <c r="AA22" s="45"/>
      <c r="AB22" s="45"/>
      <c r="AC22" s="45"/>
      <c r="AD22" s="45">
        <f t="shared" ref="AD22:AD25" si="0">SUM(Z22:AC22)</f>
        <v>330</v>
      </c>
    </row>
    <row r="23" spans="26:30" ht="15.75" x14ac:dyDescent="0.25">
      <c r="Z23" s="47">
        <v>0</v>
      </c>
      <c r="AA23" s="47"/>
      <c r="AB23" s="47"/>
      <c r="AC23" s="47"/>
      <c r="AD23" s="45">
        <f t="shared" si="0"/>
        <v>0</v>
      </c>
    </row>
    <row r="24" spans="26:30" ht="15.75" x14ac:dyDescent="0.25">
      <c r="Z24" s="165">
        <v>110</v>
      </c>
      <c r="AA24" s="47"/>
      <c r="AB24" s="47"/>
      <c r="AC24" s="47"/>
      <c r="AD24" s="45">
        <f t="shared" si="0"/>
        <v>110</v>
      </c>
    </row>
    <row r="25" spans="26:30" ht="15.75" x14ac:dyDescent="0.25">
      <c r="Z25" s="48"/>
      <c r="AA25" s="48"/>
      <c r="AB25" s="49">
        <v>1</v>
      </c>
      <c r="AC25" s="49"/>
      <c r="AD25" s="45">
        <f t="shared" si="0"/>
        <v>1</v>
      </c>
    </row>
    <row r="26" spans="26:30" ht="15.75" x14ac:dyDescent="0.25">
      <c r="Z26" s="46" t="s">
        <v>157</v>
      </c>
      <c r="AA26" s="46" t="s">
        <v>158</v>
      </c>
      <c r="AB26" s="46" t="s">
        <v>159</v>
      </c>
      <c r="AC26" s="46" t="str">
        <f>AC20</f>
        <v>Other</v>
      </c>
      <c r="AD26" s="46" t="str">
        <f>AD20</f>
        <v>FY31- VV</v>
      </c>
    </row>
    <row r="27" spans="26:30" ht="15.75" x14ac:dyDescent="0.25">
      <c r="Z27" s="50">
        <v>36</v>
      </c>
      <c r="AA27" s="50"/>
      <c r="AB27" s="50"/>
      <c r="AC27" s="50"/>
      <c r="AD27" s="50">
        <f>SUM(Z27:AC27)</f>
        <v>36</v>
      </c>
    </row>
    <row r="28" spans="26:30" ht="15.75" x14ac:dyDescent="0.25">
      <c r="Z28" s="51">
        <v>0</v>
      </c>
      <c r="AA28" s="51">
        <v>5</v>
      </c>
      <c r="AB28" s="51"/>
      <c r="AC28" s="51"/>
      <c r="AD28" s="50">
        <f t="shared" ref="AD28:AD35" si="1">SUM(Z28:AC28)</f>
        <v>5</v>
      </c>
    </row>
    <row r="29" spans="26:30" ht="15.75" x14ac:dyDescent="0.25">
      <c r="Z29" s="50">
        <v>1</v>
      </c>
      <c r="AA29" s="50"/>
      <c r="AB29" s="50"/>
      <c r="AC29" s="50"/>
      <c r="AD29" s="50">
        <f t="shared" si="1"/>
        <v>1</v>
      </c>
    </row>
    <row r="30" spans="26:30" ht="15.75" x14ac:dyDescent="0.25">
      <c r="Z30" s="50">
        <v>1</v>
      </c>
      <c r="AA30" s="50"/>
      <c r="AB30" s="50"/>
      <c r="AC30" s="50"/>
      <c r="AD30" s="50">
        <f t="shared" si="1"/>
        <v>1</v>
      </c>
    </row>
    <row r="31" spans="26:30" ht="15.75" x14ac:dyDescent="0.25">
      <c r="Z31" s="50">
        <v>2</v>
      </c>
      <c r="AA31" s="50"/>
      <c r="AB31" s="50"/>
      <c r="AC31" s="50"/>
      <c r="AD31" s="50">
        <f t="shared" si="1"/>
        <v>2</v>
      </c>
    </row>
    <row r="32" spans="26:30" ht="15.75" x14ac:dyDescent="0.25">
      <c r="Z32" s="50">
        <v>0</v>
      </c>
      <c r="AA32" s="50"/>
      <c r="AB32" s="50"/>
      <c r="AC32" s="50"/>
      <c r="AD32" s="50">
        <f t="shared" si="1"/>
        <v>0</v>
      </c>
    </row>
    <row r="33" spans="26:30" ht="15.75" x14ac:dyDescent="0.25">
      <c r="Z33" s="50">
        <v>0</v>
      </c>
      <c r="AA33" s="50"/>
      <c r="AB33" s="50"/>
      <c r="AC33" s="50"/>
      <c r="AD33" s="50">
        <f t="shared" si="1"/>
        <v>0</v>
      </c>
    </row>
    <row r="34" spans="26:30" ht="15.75" x14ac:dyDescent="0.25">
      <c r="Z34" s="50">
        <v>2</v>
      </c>
      <c r="AA34" s="50"/>
      <c r="AB34" s="50"/>
      <c r="AC34" s="50"/>
      <c r="AD34" s="50">
        <f t="shared" si="1"/>
        <v>2</v>
      </c>
    </row>
    <row r="35" spans="26:30" ht="15.75" x14ac:dyDescent="0.25">
      <c r="Z35" s="50">
        <v>0</v>
      </c>
      <c r="AA35" s="50"/>
      <c r="AB35" s="50"/>
      <c r="AC35" s="50"/>
      <c r="AD35" s="50">
        <f t="shared" si="1"/>
        <v>0</v>
      </c>
    </row>
    <row r="36" spans="26:30" ht="15.75" x14ac:dyDescent="0.25">
      <c r="Z36" s="52">
        <f t="shared" ref="Z36:AD36" si="2">SUM(Z27:Z35)</f>
        <v>42</v>
      </c>
      <c r="AA36" s="52">
        <f t="shared" si="2"/>
        <v>5</v>
      </c>
      <c r="AB36" s="52">
        <f t="shared" si="2"/>
        <v>0</v>
      </c>
      <c r="AC36" s="52">
        <f t="shared" si="2"/>
        <v>0</v>
      </c>
      <c r="AD36" s="52">
        <f t="shared" si="2"/>
        <v>47</v>
      </c>
    </row>
    <row r="37" spans="26:30" ht="15.75" x14ac:dyDescent="0.25">
      <c r="Z37" s="45"/>
      <c r="AA37" s="45"/>
      <c r="AB37" s="45"/>
      <c r="AC37" s="45"/>
      <c r="AD37" s="45"/>
    </row>
    <row r="38" spans="26:30" ht="15.75" x14ac:dyDescent="0.25">
      <c r="Z38" s="46" t="s">
        <v>157</v>
      </c>
      <c r="AA38" s="46" t="s">
        <v>158</v>
      </c>
      <c r="AB38" s="46" t="s">
        <v>159</v>
      </c>
      <c r="AC38" s="46" t="str">
        <f>AC20</f>
        <v>Other</v>
      </c>
      <c r="AD38" s="46" t="str">
        <f>AD20</f>
        <v>FY31- VV</v>
      </c>
    </row>
    <row r="39" spans="26:30" ht="15.75" x14ac:dyDescent="0.25">
      <c r="Z39" s="50">
        <v>1</v>
      </c>
      <c r="AA39" s="51"/>
      <c r="AB39" s="51"/>
      <c r="AC39" s="51"/>
      <c r="AD39" s="51">
        <f>SUM(Z39:AC39)</f>
        <v>1</v>
      </c>
    </row>
    <row r="40" spans="26:30" ht="15.75" x14ac:dyDescent="0.25">
      <c r="Z40" s="51">
        <v>3</v>
      </c>
      <c r="AA40" s="51"/>
      <c r="AB40" s="51"/>
      <c r="AC40" s="51"/>
      <c r="AD40" s="51">
        <f t="shared" ref="AD40:AD60" si="3">SUM(Z40:AC40)</f>
        <v>3</v>
      </c>
    </row>
    <row r="41" spans="26:30" ht="15.75" x14ac:dyDescent="0.25">
      <c r="Z41" s="51">
        <v>1</v>
      </c>
      <c r="AA41" s="51"/>
      <c r="AB41" s="51"/>
      <c r="AC41" s="51"/>
      <c r="AD41" s="51">
        <f t="shared" si="3"/>
        <v>1</v>
      </c>
    </row>
    <row r="42" spans="26:30" ht="15.75" x14ac:dyDescent="0.25">
      <c r="Z42" s="51">
        <v>0</v>
      </c>
      <c r="AA42" s="51"/>
      <c r="AB42" s="51"/>
      <c r="AC42" s="51"/>
      <c r="AD42" s="51">
        <f t="shared" si="3"/>
        <v>0</v>
      </c>
    </row>
    <row r="43" spans="26:30" ht="15.75" x14ac:dyDescent="0.25">
      <c r="Z43" s="51">
        <v>1</v>
      </c>
      <c r="AA43" s="51"/>
      <c r="AB43" s="51"/>
      <c r="AC43" s="51"/>
      <c r="AD43" s="51">
        <f t="shared" si="3"/>
        <v>1</v>
      </c>
    </row>
    <row r="44" spans="26:30" ht="15.75" x14ac:dyDescent="0.25">
      <c r="Z44" s="51">
        <v>2</v>
      </c>
      <c r="AA44" s="51"/>
      <c r="AB44" s="51"/>
      <c r="AC44" s="51"/>
      <c r="AD44" s="51">
        <f t="shared" si="3"/>
        <v>2</v>
      </c>
    </row>
    <row r="45" spans="26:30" ht="15.75" x14ac:dyDescent="0.25">
      <c r="Z45" s="51">
        <v>2</v>
      </c>
      <c r="AA45" s="51"/>
      <c r="AB45" s="51"/>
      <c r="AC45" s="51"/>
      <c r="AD45" s="51">
        <f t="shared" si="3"/>
        <v>2</v>
      </c>
    </row>
    <row r="46" spans="26:30" ht="15.75" x14ac:dyDescent="0.25">
      <c r="Z46" s="51">
        <v>1</v>
      </c>
      <c r="AA46" s="51"/>
      <c r="AB46" s="51"/>
      <c r="AC46" s="51"/>
      <c r="AD46" s="51">
        <f t="shared" si="3"/>
        <v>1</v>
      </c>
    </row>
    <row r="47" spans="26:30" ht="15.75" x14ac:dyDescent="0.25">
      <c r="Z47" s="51">
        <v>1</v>
      </c>
      <c r="AA47" s="51"/>
      <c r="AB47" s="51"/>
      <c r="AC47" s="51"/>
      <c r="AD47" s="51">
        <f t="shared" si="3"/>
        <v>1</v>
      </c>
    </row>
    <row r="48" spans="26:30" ht="15.75" x14ac:dyDescent="0.25">
      <c r="Z48" s="51">
        <v>1</v>
      </c>
      <c r="AA48" s="51"/>
      <c r="AB48" s="51"/>
      <c r="AC48" s="51"/>
      <c r="AD48" s="51">
        <f t="shared" si="3"/>
        <v>1</v>
      </c>
    </row>
    <row r="49" spans="26:30" ht="15.75" x14ac:dyDescent="0.25">
      <c r="Z49" s="51">
        <v>1</v>
      </c>
      <c r="AA49" s="51"/>
      <c r="AB49" s="51"/>
      <c r="AC49" s="51"/>
      <c r="AD49" s="51">
        <f t="shared" si="3"/>
        <v>1</v>
      </c>
    </row>
    <row r="50" spans="26:30" ht="15.75" x14ac:dyDescent="0.25">
      <c r="Z50" s="51">
        <v>5</v>
      </c>
      <c r="AA50" s="51">
        <v>6</v>
      </c>
      <c r="AB50" s="51">
        <v>2</v>
      </c>
      <c r="AC50" s="51"/>
      <c r="AD50" s="51">
        <f t="shared" si="3"/>
        <v>13</v>
      </c>
    </row>
    <row r="51" spans="26:30" ht="15.75" x14ac:dyDescent="0.25">
      <c r="Z51" s="51">
        <v>3</v>
      </c>
      <c r="AA51" s="51"/>
      <c r="AB51" s="51"/>
      <c r="AC51" s="51"/>
      <c r="AD51" s="51">
        <f t="shared" si="3"/>
        <v>3</v>
      </c>
    </row>
    <row r="52" spans="26:30" ht="15.75" x14ac:dyDescent="0.25">
      <c r="Z52" s="51"/>
      <c r="AA52" s="51"/>
      <c r="AB52" s="51"/>
      <c r="AC52" s="51"/>
      <c r="AD52" s="51">
        <f t="shared" si="3"/>
        <v>0</v>
      </c>
    </row>
    <row r="53" spans="26:30" ht="15.75" x14ac:dyDescent="0.25">
      <c r="Z53" s="51"/>
      <c r="AA53" s="51"/>
      <c r="AB53" s="51"/>
      <c r="AC53" s="51"/>
      <c r="AD53" s="51">
        <f t="shared" si="3"/>
        <v>0</v>
      </c>
    </row>
    <row r="54" spans="26:30" ht="15.75" x14ac:dyDescent="0.25">
      <c r="Z54" s="51"/>
      <c r="AA54" s="51"/>
      <c r="AB54" s="51"/>
      <c r="AC54" s="51"/>
      <c r="AD54" s="51">
        <f t="shared" si="3"/>
        <v>0</v>
      </c>
    </row>
    <row r="55" spans="26:30" ht="15.75" x14ac:dyDescent="0.25">
      <c r="Z55" s="51"/>
      <c r="AA55" s="51"/>
      <c r="AB55" s="51"/>
      <c r="AC55" s="51"/>
      <c r="AD55" s="51">
        <f t="shared" si="3"/>
        <v>0</v>
      </c>
    </row>
    <row r="56" spans="26:30" ht="15.75" x14ac:dyDescent="0.25">
      <c r="Z56" s="51"/>
      <c r="AA56" s="51"/>
      <c r="AB56" s="51"/>
      <c r="AC56" s="51"/>
      <c r="AD56" s="51">
        <f t="shared" si="3"/>
        <v>0</v>
      </c>
    </row>
    <row r="57" spans="26:30" ht="15.75" x14ac:dyDescent="0.25">
      <c r="Z57" s="51"/>
      <c r="AA57" s="51"/>
      <c r="AB57" s="51"/>
      <c r="AC57" s="51"/>
      <c r="AD57" s="51">
        <f t="shared" si="3"/>
        <v>0</v>
      </c>
    </row>
    <row r="58" spans="26:30" ht="15.75" x14ac:dyDescent="0.25">
      <c r="Z58" s="51"/>
      <c r="AA58" s="51"/>
      <c r="AB58" s="51"/>
      <c r="AC58" s="51"/>
      <c r="AD58" s="51">
        <f t="shared" si="3"/>
        <v>0</v>
      </c>
    </row>
    <row r="59" spans="26:30" ht="15.75" x14ac:dyDescent="0.25">
      <c r="Z59" s="51"/>
      <c r="AA59" s="51"/>
      <c r="AB59" s="51"/>
      <c r="AC59" s="51"/>
      <c r="AD59" s="51">
        <f t="shared" si="3"/>
        <v>0</v>
      </c>
    </row>
    <row r="60" spans="26:30" ht="15.75" x14ac:dyDescent="0.25">
      <c r="Z60" s="50"/>
      <c r="AA60" s="50"/>
      <c r="AB60" s="50"/>
      <c r="AC60" s="50"/>
      <c r="AD60" s="51">
        <f t="shared" si="3"/>
        <v>0</v>
      </c>
    </row>
    <row r="61" spans="26:30" ht="15.75" x14ac:dyDescent="0.25">
      <c r="Z61" s="52">
        <f t="shared" ref="Z61:AD61" si="4">SUM(Z39:Z60)</f>
        <v>22</v>
      </c>
      <c r="AA61" s="52">
        <f t="shared" si="4"/>
        <v>6</v>
      </c>
      <c r="AB61" s="52">
        <f t="shared" si="4"/>
        <v>2</v>
      </c>
      <c r="AC61" s="52">
        <f t="shared" si="4"/>
        <v>0</v>
      </c>
      <c r="AD61" s="52">
        <f t="shared" si="4"/>
        <v>30</v>
      </c>
    </row>
    <row r="62" spans="26:30" ht="16.5" thickBot="1" x14ac:dyDescent="0.3">
      <c r="Z62" s="53"/>
      <c r="AA62" s="53"/>
      <c r="AB62" s="53"/>
      <c r="AC62" s="53"/>
      <c r="AD62" s="53"/>
    </row>
    <row r="63" spans="26:30" ht="15.75" x14ac:dyDescent="0.25">
      <c r="Z63" s="54">
        <f>Z36+Z41+Z43+Z50</f>
        <v>49</v>
      </c>
      <c r="AA63" s="54">
        <f t="shared" ref="AA63:AD63" si="5">AA36+AA41+AA43+AA50</f>
        <v>11</v>
      </c>
      <c r="AB63" s="54">
        <f t="shared" si="5"/>
        <v>2</v>
      </c>
      <c r="AC63" s="54">
        <f t="shared" si="5"/>
        <v>0</v>
      </c>
      <c r="AD63" s="54">
        <f t="shared" si="5"/>
        <v>62</v>
      </c>
    </row>
    <row r="64" spans="26:30" ht="15.75" x14ac:dyDescent="0.25">
      <c r="Z64" s="55">
        <f>Z61-Z41-Z43-Z50</f>
        <v>15</v>
      </c>
      <c r="AA64" s="55">
        <f>AA61-AA41-AA43-AA50</f>
        <v>0</v>
      </c>
      <c r="AB64" s="55">
        <f t="shared" ref="AB64:AD64" si="6">AB61-AB41-AB43-AB50</f>
        <v>0</v>
      </c>
      <c r="AC64" s="55">
        <f t="shared" si="6"/>
        <v>0</v>
      </c>
      <c r="AD64" s="55">
        <f t="shared" si="6"/>
        <v>15</v>
      </c>
    </row>
    <row r="65" spans="26:30" ht="16.5" thickBot="1" x14ac:dyDescent="0.3">
      <c r="Z65" s="56">
        <f t="shared" ref="Z65:AD65" si="7">SUM(Z63:Z64)</f>
        <v>64</v>
      </c>
      <c r="AA65" s="56">
        <f t="shared" si="7"/>
        <v>11</v>
      </c>
      <c r="AB65" s="56">
        <f t="shared" si="7"/>
        <v>2</v>
      </c>
      <c r="AC65" s="56">
        <f t="shared" si="7"/>
        <v>0</v>
      </c>
      <c r="AD65" s="56">
        <f t="shared" si="7"/>
        <v>77</v>
      </c>
    </row>
    <row r="66" spans="26:30" ht="16.5" thickBot="1" x14ac:dyDescent="0.3">
      <c r="Z66" s="57"/>
      <c r="AA66" s="57"/>
      <c r="AB66" s="57"/>
      <c r="AC66" s="57"/>
      <c r="AD66" s="57"/>
    </row>
    <row r="67" spans="26:30" ht="16.5" thickBot="1" x14ac:dyDescent="0.3">
      <c r="Z67" s="58" t="s">
        <v>157</v>
      </c>
      <c r="AA67" s="58" t="s">
        <v>158</v>
      </c>
      <c r="AB67" s="58" t="s">
        <v>159</v>
      </c>
      <c r="AC67" s="59" t="str">
        <f>AC20</f>
        <v>Other</v>
      </c>
      <c r="AD67" s="59" t="str">
        <f>AD20</f>
        <v>FY31- VV</v>
      </c>
    </row>
    <row r="68" spans="26:30" ht="15.75" x14ac:dyDescent="0.25">
      <c r="Z68" s="60">
        <f>Z2*Z17</f>
        <v>0</v>
      </c>
      <c r="AA68" s="60"/>
      <c r="AB68" s="60"/>
      <c r="AC68" s="60"/>
      <c r="AD68" s="60">
        <f>SUM(Z68:AC68)</f>
        <v>0</v>
      </c>
    </row>
    <row r="69" spans="26:30" ht="15.75" x14ac:dyDescent="0.25">
      <c r="Z69" s="60">
        <f>(Z2*0.4495)*Z22</f>
        <v>0</v>
      </c>
      <c r="AA69" s="61"/>
      <c r="AB69" s="61"/>
      <c r="AC69" s="61"/>
      <c r="AD69" s="60">
        <f t="shared" ref="AD69:AD81" si="8">SUM(Z69:AC69)</f>
        <v>0</v>
      </c>
    </row>
    <row r="70" spans="26:30" ht="15.75" x14ac:dyDescent="0.25">
      <c r="Z70" s="60">
        <f>(Z2*0.1195)*Z23</f>
        <v>0</v>
      </c>
      <c r="AA70" s="61"/>
      <c r="AB70" s="61"/>
      <c r="AC70" s="61"/>
      <c r="AD70" s="60">
        <f t="shared" si="8"/>
        <v>0</v>
      </c>
    </row>
    <row r="71" spans="26:30" ht="15.75" x14ac:dyDescent="0.25">
      <c r="Z71" s="60">
        <f>(Z2*0.3495)*Z24</f>
        <v>0</v>
      </c>
      <c r="AA71" s="61"/>
      <c r="AB71" s="61"/>
      <c r="AC71" s="61"/>
      <c r="AD71" s="60">
        <f t="shared" si="8"/>
        <v>0</v>
      </c>
    </row>
    <row r="72" spans="26:30" ht="15.75" x14ac:dyDescent="0.25">
      <c r="Z72" s="61">
        <v>200000</v>
      </c>
      <c r="AA72" s="61"/>
      <c r="AB72" s="61"/>
      <c r="AC72" s="61"/>
      <c r="AD72" s="60">
        <f t="shared" si="8"/>
        <v>200000</v>
      </c>
    </row>
    <row r="73" spans="26:30" ht="15.75" x14ac:dyDescent="0.25">
      <c r="Z73" s="61"/>
      <c r="AA73" s="61"/>
      <c r="AB73" s="61"/>
      <c r="AC73" s="61"/>
      <c r="AD73" s="60">
        <f t="shared" si="8"/>
        <v>0</v>
      </c>
    </row>
    <row r="74" spans="26:30" ht="15.75" x14ac:dyDescent="0.25">
      <c r="Z74" s="61"/>
      <c r="AA74" s="61">
        <f>4200*AA21</f>
        <v>525000</v>
      </c>
      <c r="AB74" s="61"/>
      <c r="AC74" s="61"/>
      <c r="AD74" s="60">
        <f t="shared" si="8"/>
        <v>525000</v>
      </c>
    </row>
    <row r="75" spans="26:30" ht="15.75" x14ac:dyDescent="0.25">
      <c r="Z75" s="61"/>
      <c r="AA75" s="63">
        <f>951*AA21</f>
        <v>118875</v>
      </c>
      <c r="AB75" s="61"/>
      <c r="AC75" s="61"/>
      <c r="AD75" s="60">
        <f t="shared" si="8"/>
        <v>118875</v>
      </c>
    </row>
    <row r="76" spans="26:30" ht="15.75" x14ac:dyDescent="0.25">
      <c r="Z76" s="61">
        <v>0</v>
      </c>
      <c r="AA76" s="61"/>
      <c r="AB76" s="61"/>
      <c r="AC76" s="61"/>
      <c r="AD76" s="60">
        <f t="shared" si="8"/>
        <v>0</v>
      </c>
    </row>
    <row r="77" spans="26:30" ht="15.75" x14ac:dyDescent="0.25">
      <c r="Z77" s="61"/>
      <c r="AA77" s="61"/>
      <c r="AB77" s="61"/>
      <c r="AC77" s="61"/>
      <c r="AD77" s="60">
        <f t="shared" si="8"/>
        <v>0</v>
      </c>
    </row>
    <row r="78" spans="26:30" ht="15.75" x14ac:dyDescent="0.25">
      <c r="Z78" s="61"/>
      <c r="AA78" s="61"/>
      <c r="AB78" s="61"/>
      <c r="AC78" s="61"/>
      <c r="AD78" s="60">
        <f t="shared" si="8"/>
        <v>0</v>
      </c>
    </row>
    <row r="79" spans="26:30" ht="15.75" x14ac:dyDescent="0.25">
      <c r="Z79" s="61"/>
      <c r="AA79" s="61"/>
      <c r="AB79" s="61"/>
      <c r="AC79" s="61"/>
      <c r="AD79" s="60">
        <f t="shared" si="8"/>
        <v>0</v>
      </c>
    </row>
    <row r="80" spans="26:30" ht="15.75" x14ac:dyDescent="0.25">
      <c r="Z80" s="61"/>
      <c r="AA80" s="61"/>
      <c r="AB80" s="61">
        <f>650*2.4*180</f>
        <v>280800</v>
      </c>
      <c r="AC80" s="61"/>
      <c r="AD80" s="60">
        <f t="shared" si="8"/>
        <v>280800</v>
      </c>
    </row>
    <row r="81" spans="26:30" ht="15.75" x14ac:dyDescent="0.25">
      <c r="Z81" s="91"/>
      <c r="AA81" s="91"/>
      <c r="AB81" s="61">
        <f>650*4.45*180</f>
        <v>520650</v>
      </c>
      <c r="AC81" s="91"/>
      <c r="AD81" s="60">
        <f t="shared" si="8"/>
        <v>520650</v>
      </c>
    </row>
    <row r="82" spans="26:30" ht="15.75" x14ac:dyDescent="0.25">
      <c r="Z82" s="65">
        <f t="shared" ref="Z82:AD82" si="9">SUM(Z68:Z81)</f>
        <v>200000</v>
      </c>
      <c r="AA82" s="65">
        <f t="shared" si="9"/>
        <v>643875</v>
      </c>
      <c r="AB82" s="65">
        <f t="shared" si="9"/>
        <v>801450</v>
      </c>
      <c r="AC82" s="65">
        <f t="shared" si="9"/>
        <v>0</v>
      </c>
      <c r="AD82" s="65">
        <f t="shared" si="9"/>
        <v>1645325</v>
      </c>
    </row>
    <row r="83" spans="26:30" ht="15.75" x14ac:dyDescent="0.25">
      <c r="Z83" s="57"/>
      <c r="AA83" s="57"/>
      <c r="AB83" s="57"/>
      <c r="AC83" s="57"/>
      <c r="AD83" s="57"/>
    </row>
    <row r="84" spans="26:30" ht="15.75" x14ac:dyDescent="0.25">
      <c r="Z84" s="66" t="s">
        <v>157</v>
      </c>
      <c r="AA84" s="66" t="s">
        <v>158</v>
      </c>
      <c r="AB84" s="66" t="s">
        <v>159</v>
      </c>
      <c r="AC84" s="67" t="str">
        <f>AC67</f>
        <v>Other</v>
      </c>
      <c r="AD84" s="67" t="str">
        <f>AD67</f>
        <v>FY31- VV</v>
      </c>
    </row>
    <row r="85" spans="26:30" ht="15.75" x14ac:dyDescent="0.25">
      <c r="Z85" s="68"/>
      <c r="AA85" s="68"/>
      <c r="AB85" s="68"/>
      <c r="AC85" s="68"/>
      <c r="AD85" s="68"/>
    </row>
    <row r="86" spans="26:30" ht="15.75" x14ac:dyDescent="0.25">
      <c r="Z86" s="69"/>
      <c r="AA86" s="69"/>
      <c r="AB86" s="69"/>
      <c r="AC86" s="69"/>
      <c r="AD86" s="69"/>
    </row>
    <row r="87" spans="26:30" ht="15.75" x14ac:dyDescent="0.25">
      <c r="Z87" s="70"/>
      <c r="AA87" s="70"/>
      <c r="AB87" s="70"/>
      <c r="AC87" s="70"/>
      <c r="AD87" s="70"/>
    </row>
    <row r="88" spans="26:30" ht="15.75" x14ac:dyDescent="0.25">
      <c r="Z88" s="71">
        <f t="shared" ref="Z88:AD88" si="10">SUM(Z85:Z87)</f>
        <v>0</v>
      </c>
      <c r="AA88" s="71">
        <f t="shared" si="10"/>
        <v>0</v>
      </c>
      <c r="AB88" s="71">
        <f t="shared" si="10"/>
        <v>0</v>
      </c>
      <c r="AC88" s="71">
        <f t="shared" si="10"/>
        <v>0</v>
      </c>
      <c r="AD88" s="71">
        <f t="shared" si="10"/>
        <v>0</v>
      </c>
    </row>
    <row r="89" spans="26:30" ht="15.75" x14ac:dyDescent="0.25">
      <c r="Z89" s="57"/>
      <c r="AA89" s="57"/>
      <c r="AB89" s="57"/>
      <c r="AC89" s="57"/>
      <c r="AD89" s="57"/>
    </row>
    <row r="90" spans="26:30" ht="16.5" thickBot="1" x14ac:dyDescent="0.3">
      <c r="Z90" s="57"/>
      <c r="AA90" s="57"/>
      <c r="AB90" s="57"/>
      <c r="AC90" s="57"/>
      <c r="AD90" s="57"/>
    </row>
    <row r="91" spans="26:30" ht="15.75" x14ac:dyDescent="0.25">
      <c r="Z91" s="72" t="s">
        <v>157</v>
      </c>
      <c r="AA91" s="72" t="s">
        <v>158</v>
      </c>
      <c r="AB91" s="72" t="s">
        <v>159</v>
      </c>
      <c r="AC91" s="73" t="str">
        <f>AC84</f>
        <v>Other</v>
      </c>
      <c r="AD91" s="73" t="str">
        <f>AD84</f>
        <v>FY31- VV</v>
      </c>
    </row>
    <row r="92" spans="26:30" ht="15.75" x14ac:dyDescent="0.25">
      <c r="Z92" s="74"/>
      <c r="AA92" s="74"/>
      <c r="AB92" s="74"/>
      <c r="AC92" s="74"/>
      <c r="AD92" s="74"/>
    </row>
    <row r="93" spans="26:30" ht="15.75" x14ac:dyDescent="0.25">
      <c r="Z93" s="75">
        <f>140000*1.01*1.01*1.01*1.01</f>
        <v>145684.56140000001</v>
      </c>
      <c r="AA93" s="75"/>
      <c r="AB93" s="75"/>
      <c r="AC93" s="75"/>
      <c r="AD93" s="75">
        <f>SUM(Z93:AC93)</f>
        <v>145684.56140000001</v>
      </c>
    </row>
    <row r="94" spans="26:30" ht="15.75" x14ac:dyDescent="0.25">
      <c r="Z94" s="63">
        <f>(90000*Z40)*1.01*1.01*1.01*1.01</f>
        <v>280963.08270000003</v>
      </c>
      <c r="AA94" s="63"/>
      <c r="AB94" s="63"/>
      <c r="AC94" s="63"/>
      <c r="AD94" s="75">
        <f t="shared" ref="AD94:AD108" si="11">SUM(Z94:AC94)</f>
        <v>280963.08270000003</v>
      </c>
    </row>
    <row r="95" spans="26:30" ht="15.75" x14ac:dyDescent="0.25">
      <c r="Z95" s="63">
        <f>(85000*Z44)*1.01*1.01*1.01</f>
        <v>175151.17</v>
      </c>
      <c r="AA95" s="63"/>
      <c r="AB95" s="63"/>
      <c r="AC95" s="63"/>
      <c r="AD95" s="75">
        <f t="shared" si="11"/>
        <v>175151.17</v>
      </c>
    </row>
    <row r="96" spans="26:30" ht="15.75" x14ac:dyDescent="0.25">
      <c r="Z96" s="63">
        <f>(65000*Z45)*1.01*1.01*1.01</f>
        <v>133939.13</v>
      </c>
      <c r="AA96" s="63"/>
      <c r="AB96" s="63"/>
      <c r="AC96" s="63"/>
      <c r="AD96" s="75">
        <f t="shared" si="11"/>
        <v>133939.13</v>
      </c>
    </row>
    <row r="97" spans="26:30" ht="15.75" x14ac:dyDescent="0.25">
      <c r="Z97" s="63"/>
      <c r="AA97" s="63"/>
      <c r="AB97" s="63"/>
      <c r="AC97" s="63"/>
      <c r="AD97" s="75">
        <f t="shared" si="11"/>
        <v>0</v>
      </c>
    </row>
    <row r="98" spans="26:30" ht="15.75" x14ac:dyDescent="0.25">
      <c r="Z98" s="63">
        <f>(55000+50000)*1.01*1.01*1.01*1.01</f>
        <v>109263.42104999999</v>
      </c>
      <c r="AA98" s="63"/>
      <c r="AB98" s="63"/>
      <c r="AC98" s="63"/>
      <c r="AD98" s="75">
        <f t="shared" si="11"/>
        <v>109263.42104999999</v>
      </c>
    </row>
    <row r="99" spans="26:30" ht="15.75" x14ac:dyDescent="0.25">
      <c r="Z99" s="63">
        <f>(22*8*190)*(Z48+Z49)</f>
        <v>66880</v>
      </c>
      <c r="AA99" s="63"/>
      <c r="AB99" s="63"/>
      <c r="AC99" s="63"/>
      <c r="AD99" s="75">
        <f t="shared" si="11"/>
        <v>66880</v>
      </c>
    </row>
    <row r="100" spans="26:30" ht="15.75" x14ac:dyDescent="0.25">
      <c r="Z100" s="63"/>
      <c r="AA100" s="63"/>
      <c r="AB100" s="63"/>
      <c r="AC100" s="63"/>
      <c r="AD100" s="75">
        <f t="shared" si="11"/>
        <v>0</v>
      </c>
    </row>
    <row r="101" spans="26:30" ht="15.75" x14ac:dyDescent="0.25">
      <c r="Z101" s="63">
        <f>(24*8*240)*Z51</f>
        <v>138240</v>
      </c>
      <c r="AA101" s="63"/>
      <c r="AB101" s="63">
        <f>(21*8*185)*AB50</f>
        <v>62160</v>
      </c>
      <c r="AC101" s="63"/>
      <c r="AD101" s="75">
        <f t="shared" si="11"/>
        <v>200400</v>
      </c>
    </row>
    <row r="102" spans="26:30" ht="15.75" x14ac:dyDescent="0.25">
      <c r="Z102" s="63"/>
      <c r="AA102" s="63"/>
      <c r="AB102" s="63"/>
      <c r="AC102" s="63"/>
      <c r="AD102" s="75">
        <f t="shared" si="11"/>
        <v>0</v>
      </c>
    </row>
    <row r="103" spans="26:30" ht="15.75" x14ac:dyDescent="0.25">
      <c r="Z103" s="63"/>
      <c r="AA103" s="63"/>
      <c r="AB103" s="63"/>
      <c r="AC103" s="63"/>
      <c r="AD103" s="75">
        <f t="shared" si="11"/>
        <v>0</v>
      </c>
    </row>
    <row r="104" spans="26:30" ht="15.75" x14ac:dyDescent="0.25">
      <c r="Z104" s="63"/>
      <c r="AA104" s="63"/>
      <c r="AB104" s="63"/>
      <c r="AC104" s="63"/>
      <c r="AD104" s="75">
        <f t="shared" si="11"/>
        <v>0</v>
      </c>
    </row>
    <row r="105" spans="26:30" ht="15.75" x14ac:dyDescent="0.25">
      <c r="Z105" s="63"/>
      <c r="AA105" s="63"/>
      <c r="AB105" s="63"/>
      <c r="AC105" s="63"/>
      <c r="AD105" s="75">
        <f t="shared" si="11"/>
        <v>0</v>
      </c>
    </row>
    <row r="106" spans="26:30" ht="15.75" x14ac:dyDescent="0.25">
      <c r="Z106" s="63"/>
      <c r="AA106" s="63"/>
      <c r="AB106" s="63"/>
      <c r="AC106" s="63"/>
      <c r="AD106" s="75">
        <f t="shared" si="11"/>
        <v>0</v>
      </c>
    </row>
    <row r="107" spans="26:30" ht="15.75" x14ac:dyDescent="0.25">
      <c r="Z107" s="63"/>
      <c r="AA107" s="63"/>
      <c r="AB107" s="63"/>
      <c r="AC107" s="63"/>
      <c r="AD107" s="75">
        <f t="shared" si="11"/>
        <v>0</v>
      </c>
    </row>
    <row r="108" spans="26:30" ht="15.75" x14ac:dyDescent="0.25">
      <c r="Z108" s="64"/>
      <c r="AA108" s="64"/>
      <c r="AB108" s="64"/>
      <c r="AC108" s="64"/>
      <c r="AD108" s="75">
        <f t="shared" si="11"/>
        <v>0</v>
      </c>
    </row>
    <row r="109" spans="26:30" ht="15.75" x14ac:dyDescent="0.25">
      <c r="Z109" s="76">
        <f t="shared" ref="Z109:AD109" si="12">SUM(Z93:Z108)</f>
        <v>1050121.36515</v>
      </c>
      <c r="AA109" s="76">
        <f t="shared" si="12"/>
        <v>0</v>
      </c>
      <c r="AB109" s="76">
        <f t="shared" si="12"/>
        <v>62160</v>
      </c>
      <c r="AC109" s="76">
        <f t="shared" si="12"/>
        <v>0</v>
      </c>
      <c r="AD109" s="76">
        <f t="shared" si="12"/>
        <v>1112281.36515</v>
      </c>
    </row>
    <row r="110" spans="26:30" ht="15.75" x14ac:dyDescent="0.25">
      <c r="Z110" s="75">
        <f>Z109*0.3925</f>
        <v>412172.63582137501</v>
      </c>
      <c r="AA110" s="75">
        <f t="shared" ref="AA110:AC110" si="13">AA109*0.3925</f>
        <v>0</v>
      </c>
      <c r="AB110" s="75">
        <f t="shared" si="13"/>
        <v>24397.8</v>
      </c>
      <c r="AC110" s="75">
        <f t="shared" si="13"/>
        <v>0</v>
      </c>
      <c r="AD110" s="75">
        <f>SUM(Z110:AC110)</f>
        <v>436570.43582137499</v>
      </c>
    </row>
    <row r="111" spans="26:30" ht="15.75" x14ac:dyDescent="0.25">
      <c r="Z111" s="61">
        <f>(((12925*(Z64*0.85))+((265*(Z64*0.85))+((125*(Z64*0.85))+(Z65*40)+(Z109*0.015)+(Z109*0.03)))))</f>
        <v>219581.71143174998</v>
      </c>
      <c r="AA111" s="61">
        <f t="shared" ref="AA111:AC111" si="14">(((12925*(AA64*0.85))+((265*(AA64*0.85))+((125*(AA64*0.85))+(AA65*40)+(AA109*0.015)+(AA109*0.03)))))</f>
        <v>440</v>
      </c>
      <c r="AB111" s="61">
        <f t="shared" si="14"/>
        <v>2877.2</v>
      </c>
      <c r="AC111" s="61">
        <f t="shared" si="14"/>
        <v>0</v>
      </c>
      <c r="AD111" s="75">
        <f t="shared" ref="AD111:AD115" si="15">SUM(Z111:AC111)</f>
        <v>222898.91143174999</v>
      </c>
    </row>
    <row r="112" spans="26:30" ht="15.75" x14ac:dyDescent="0.25">
      <c r="Z112" s="61">
        <f>(2500*Z39)+(2000*Z40)+((1500*(Z42+Z44+Z45))+((1250*(Z46+Z47))+((1250*(Z54+Z53+Z55+Z56+Z57+Z58+Z60))+((500*(Z51+Z49+Z48))))))+(1000*5)</f>
        <v>24500</v>
      </c>
      <c r="AA112" s="61">
        <f>(2500*AA39)+(2000*AA40)+((1500*(AA42+AA44+AA45))+((1250*(AA46+AA47))+((1250*(AA54+AA53+AA55+AA56+AA57+AA58+AA60))+((500*(AA51+AA49+AA48))))))+(1000*2)</f>
        <v>2000</v>
      </c>
      <c r="AB112" s="61">
        <f>(2500*AB39)+(2000*AB40)+((1500*(AB42+AB44+AB45))+((1250*(AB46+AB47))+((1250*(AB54+AB53+AB55+AB56+AB57+AB58+AB60))+((500*(AB52))))))+(1000*1)</f>
        <v>1000</v>
      </c>
      <c r="AC112" s="61">
        <f>(2500*AC39)+(2000*AC40)+((1500*(AC42+AC44+AC45))+((1250*(AC46+AC47))+((1250*(AC54+AC53+AC55+AC56+AC57+AC58+AC60))+((500*(AC51+AC49+AC48))))))</f>
        <v>0</v>
      </c>
      <c r="AD112" s="75">
        <f t="shared" si="15"/>
        <v>27500</v>
      </c>
    </row>
    <row r="113" spans="26:30" ht="15.75" x14ac:dyDescent="0.25">
      <c r="Z113" s="61">
        <f>250*Z64</f>
        <v>3750</v>
      </c>
      <c r="AA113" s="61">
        <f t="shared" ref="AA113:AC113" si="16">250*AA64</f>
        <v>0</v>
      </c>
      <c r="AB113" s="61">
        <f t="shared" si="16"/>
        <v>0</v>
      </c>
      <c r="AC113" s="61">
        <f t="shared" si="16"/>
        <v>0</v>
      </c>
      <c r="AD113" s="75">
        <f t="shared" si="15"/>
        <v>3750</v>
      </c>
    </row>
    <row r="114" spans="26:30" ht="15.75" x14ac:dyDescent="0.25">
      <c r="Z114" s="63"/>
      <c r="AA114" s="63"/>
      <c r="AB114" s="63"/>
      <c r="AC114" s="63"/>
      <c r="AD114" s="75">
        <f t="shared" si="15"/>
        <v>0</v>
      </c>
    </row>
    <row r="115" spans="26:30" ht="15.75" x14ac:dyDescent="0.25">
      <c r="Z115" s="64">
        <v>2000</v>
      </c>
      <c r="AA115" s="64"/>
      <c r="AB115" s="64"/>
      <c r="AC115" s="64"/>
      <c r="AD115" s="75">
        <f t="shared" si="15"/>
        <v>2000</v>
      </c>
    </row>
    <row r="116" spans="26:30" ht="15.75" x14ac:dyDescent="0.25">
      <c r="Z116" s="76">
        <f>SUM(Z110:Z115)</f>
        <v>662004.34725312493</v>
      </c>
      <c r="AA116" s="76">
        <f t="shared" ref="AA116:AD116" si="17">SUM(AA110:AA115)</f>
        <v>2440</v>
      </c>
      <c r="AB116" s="76">
        <f t="shared" si="17"/>
        <v>28275</v>
      </c>
      <c r="AC116" s="76">
        <f t="shared" si="17"/>
        <v>0</v>
      </c>
      <c r="AD116" s="76">
        <f t="shared" si="17"/>
        <v>692719.34725312493</v>
      </c>
    </row>
    <row r="117" spans="26:30" ht="15.75" x14ac:dyDescent="0.25">
      <c r="Z117" s="77"/>
      <c r="AA117" s="77"/>
      <c r="AB117" s="77"/>
      <c r="AC117" s="77"/>
      <c r="AD117" s="77"/>
    </row>
    <row r="118" spans="26:30" ht="15.75" x14ac:dyDescent="0.25">
      <c r="Z118" s="78" t="s">
        <v>157</v>
      </c>
      <c r="AA118" s="78" t="s">
        <v>158</v>
      </c>
      <c r="AB118" s="78" t="s">
        <v>159</v>
      </c>
      <c r="AC118" s="78" t="str">
        <f>AC91</f>
        <v>Other</v>
      </c>
      <c r="AD118" s="78" t="str">
        <f>AD91</f>
        <v>FY31- VV</v>
      </c>
    </row>
    <row r="119" spans="26:30" ht="15.75" x14ac:dyDescent="0.25">
      <c r="Z119" s="75">
        <f>(82500*Z43)*1.01*1.01</f>
        <v>84158.25</v>
      </c>
      <c r="AA119" s="75"/>
      <c r="AB119" s="75"/>
      <c r="AC119" s="75"/>
      <c r="AD119" s="75">
        <f>SUM(Z119:AC119)</f>
        <v>84158.25</v>
      </c>
    </row>
    <row r="120" spans="26:30" ht="15.75" x14ac:dyDescent="0.25">
      <c r="Z120" s="63">
        <f>82000*1.01*1.01*1.01*1.01</f>
        <v>85329.528820000007</v>
      </c>
      <c r="AA120" s="63"/>
      <c r="AB120" s="63"/>
      <c r="AC120" s="63"/>
      <c r="AD120" s="75">
        <f t="shared" ref="AD120:AD124" si="18">SUM(Z120:AC120)</f>
        <v>85329.528820000007</v>
      </c>
    </row>
    <row r="121" spans="26:30" ht="15.75" x14ac:dyDescent="0.25">
      <c r="Z121" s="63">
        <f>59000*Z36</f>
        <v>2478000</v>
      </c>
      <c r="AA121" s="63"/>
      <c r="AB121" s="63"/>
      <c r="AC121" s="63"/>
      <c r="AD121" s="75">
        <f t="shared" si="18"/>
        <v>2478000</v>
      </c>
    </row>
    <row r="122" spans="26:30" ht="15.75" x14ac:dyDescent="0.25">
      <c r="Z122" s="63"/>
      <c r="AA122" s="63">
        <f>62775*AA28</f>
        <v>313875</v>
      </c>
      <c r="AB122" s="63"/>
      <c r="AC122" s="63"/>
      <c r="AD122" s="75">
        <f t="shared" si="18"/>
        <v>313875</v>
      </c>
    </row>
    <row r="123" spans="26:30" ht="15.75" x14ac:dyDescent="0.25">
      <c r="Z123" s="63">
        <f>21.25*8*185*Z50</f>
        <v>157250</v>
      </c>
      <c r="AA123" s="63">
        <f>21.25*8*185*AA50</f>
        <v>188700</v>
      </c>
      <c r="AB123" s="63">
        <v>0</v>
      </c>
      <c r="AC123" s="63">
        <f t="shared" ref="AC123" si="19">20*8*185*AC50</f>
        <v>0</v>
      </c>
      <c r="AD123" s="75">
        <f t="shared" si="18"/>
        <v>345950</v>
      </c>
    </row>
    <row r="124" spans="26:30" ht="15.75" x14ac:dyDescent="0.25">
      <c r="Z124" s="64">
        <f>175*180*Z59</f>
        <v>0</v>
      </c>
      <c r="AA124" s="64"/>
      <c r="AB124" s="64"/>
      <c r="AC124" s="64"/>
      <c r="AD124" s="75">
        <f t="shared" si="18"/>
        <v>0</v>
      </c>
    </row>
    <row r="125" spans="26:30" ht="15.75" x14ac:dyDescent="0.25">
      <c r="Z125" s="76">
        <f t="shared" ref="Z125:AD125" si="20">SUM(Z119:Z124)</f>
        <v>2804737.7788200001</v>
      </c>
      <c r="AA125" s="76">
        <f t="shared" si="20"/>
        <v>502575</v>
      </c>
      <c r="AB125" s="76">
        <f t="shared" si="20"/>
        <v>0</v>
      </c>
      <c r="AC125" s="76">
        <f t="shared" si="20"/>
        <v>0</v>
      </c>
      <c r="AD125" s="76">
        <f t="shared" si="20"/>
        <v>3307312.7788200001</v>
      </c>
    </row>
    <row r="126" spans="26:30" ht="15.75" x14ac:dyDescent="0.25">
      <c r="Z126" s="75">
        <f>Z125*0.3925</f>
        <v>1100859.5781868501</v>
      </c>
      <c r="AA126" s="75">
        <f t="shared" ref="AA126:AC126" si="21">AA125*0.3925</f>
        <v>197260.6875</v>
      </c>
      <c r="AB126" s="75">
        <f t="shared" si="21"/>
        <v>0</v>
      </c>
      <c r="AC126" s="75">
        <f t="shared" si="21"/>
        <v>0</v>
      </c>
      <c r="AD126" s="75">
        <f>SUM(Z126:AC126)</f>
        <v>1298120.2656868501</v>
      </c>
    </row>
    <row r="127" spans="26:30" ht="15.75" x14ac:dyDescent="0.25">
      <c r="Z127" s="61">
        <f>(((12925*(Z63*0.85))+((265*(Z63*0.85))+((120*(Z63*0.85))+(Z65*40)+(Z125*0.015)+(Z125*0.03)))))</f>
        <v>683134.70004689996</v>
      </c>
      <c r="AA127" s="61">
        <f t="shared" ref="AA127" si="22">(((12925*(AA63*0.85))+((265*(AA63*0.85))+((120*(AA63*0.85))+(AA65*40)+(AA125*0.015)+(AA125*0.03)))))</f>
        <v>147504.375</v>
      </c>
      <c r="AB127" s="61">
        <v>0</v>
      </c>
      <c r="AC127" s="61">
        <f t="shared" ref="AC127" si="23">(((12925*(AC63*0.85))+((265*(AC63*0.85))+((120*(AC63*0.85))+(AC65*40)+(AC125*0.015)+(AC125*0.03)))))</f>
        <v>0</v>
      </c>
      <c r="AD127" s="75">
        <f t="shared" ref="AD127:AD131" si="24">SUM(Z127:AC127)</f>
        <v>830639.07504689996</v>
      </c>
    </row>
    <row r="128" spans="26:30" ht="15.75" x14ac:dyDescent="0.25">
      <c r="Z128" s="61">
        <f>((1250*Z36)+((1500*(Z41+Z43))+(500*Z50)+(1250*Z59)))+(1000*8)</f>
        <v>66000</v>
      </c>
      <c r="AA128" s="61">
        <f t="shared" ref="AA128" si="25">((1250*AA36)+((1500*(AA41+AA43))+(500*AA50)+(1250*AA59)))+(1000*5)</f>
        <v>14250</v>
      </c>
      <c r="AB128" s="61">
        <f>((1250*AB36)+((1500*(AB41+AB43))+(500*AB50)+(1250*AB59)))</f>
        <v>1000</v>
      </c>
      <c r="AC128" s="61">
        <f>((1250*AC36)+((1500*(AC41+AC43))+(500*AC50)+(1250*AC59)))</f>
        <v>0</v>
      </c>
      <c r="AD128" s="75">
        <f t="shared" si="24"/>
        <v>81250</v>
      </c>
    </row>
    <row r="129" spans="26:30" ht="15.75" x14ac:dyDescent="0.25">
      <c r="Z129" s="61">
        <f>250*Z63</f>
        <v>12250</v>
      </c>
      <c r="AA129" s="61">
        <f t="shared" ref="AA129:AB129" si="26">250*AA63</f>
        <v>2750</v>
      </c>
      <c r="AB129" s="61">
        <f t="shared" si="26"/>
        <v>500</v>
      </c>
      <c r="AC129" s="61">
        <f>250*AC63</f>
        <v>0</v>
      </c>
      <c r="AD129" s="75">
        <f t="shared" si="24"/>
        <v>15500</v>
      </c>
    </row>
    <row r="130" spans="26:30" ht="15.75" x14ac:dyDescent="0.25">
      <c r="Z130" s="63"/>
      <c r="AA130" s="63"/>
      <c r="AB130" s="63"/>
      <c r="AC130" s="63"/>
      <c r="AD130" s="75">
        <f t="shared" si="24"/>
        <v>0</v>
      </c>
    </row>
    <row r="131" spans="26:30" ht="15.75" x14ac:dyDescent="0.25">
      <c r="Z131" s="64">
        <v>12500</v>
      </c>
      <c r="AA131" s="64"/>
      <c r="AB131" s="64"/>
      <c r="AC131" s="64"/>
      <c r="AD131" s="75">
        <f t="shared" si="24"/>
        <v>12500</v>
      </c>
    </row>
    <row r="132" spans="26:30" ht="15.75" x14ac:dyDescent="0.25">
      <c r="Z132" s="76">
        <f>SUM(Z126:Z131)</f>
        <v>1874744.27823375</v>
      </c>
      <c r="AA132" s="76">
        <f t="shared" ref="AA132:AD132" si="27">SUM(AA126:AA131)</f>
        <v>361765.0625</v>
      </c>
      <c r="AB132" s="76">
        <f t="shared" si="27"/>
        <v>1500</v>
      </c>
      <c r="AC132" s="76">
        <f t="shared" si="27"/>
        <v>0</v>
      </c>
      <c r="AD132" s="76">
        <f t="shared" si="27"/>
        <v>2238009.3407337498</v>
      </c>
    </row>
    <row r="133" spans="26:30" ht="15.75" x14ac:dyDescent="0.25">
      <c r="Z133" s="79"/>
      <c r="AA133" s="79"/>
      <c r="AB133" s="79"/>
      <c r="AC133" s="79"/>
      <c r="AD133" s="79"/>
    </row>
    <row r="134" spans="26:30" ht="15.75" x14ac:dyDescent="0.25">
      <c r="Z134" s="78" t="s">
        <v>157</v>
      </c>
      <c r="AA134" s="78" t="s">
        <v>158</v>
      </c>
      <c r="AB134" s="78" t="s">
        <v>159</v>
      </c>
      <c r="AC134" s="78" t="str">
        <f>AC118</f>
        <v>Other</v>
      </c>
      <c r="AD134" s="78" t="str">
        <f>AD118</f>
        <v>FY31- VV</v>
      </c>
    </row>
    <row r="135" spans="26:30" ht="15.75" x14ac:dyDescent="0.25">
      <c r="Z135" s="75">
        <f>(275*1050)</f>
        <v>288750</v>
      </c>
      <c r="AA135" s="75"/>
      <c r="AB135" s="75"/>
      <c r="AC135" s="75"/>
      <c r="AD135" s="75">
        <f>SUM(Z135:AC135)</f>
        <v>288750</v>
      </c>
    </row>
    <row r="136" spans="26:30" ht="15.75" x14ac:dyDescent="0.25">
      <c r="Z136" s="63"/>
      <c r="AA136" s="63"/>
      <c r="AB136" s="63"/>
      <c r="AC136" s="63"/>
      <c r="AD136" s="75">
        <f t="shared" ref="AD136:AD140" si="28">SUM(Z136:AC136)</f>
        <v>0</v>
      </c>
    </row>
    <row r="137" spans="26:30" ht="15.75" x14ac:dyDescent="0.25">
      <c r="Z137" s="63"/>
      <c r="AA137" s="63"/>
      <c r="AB137" s="63"/>
      <c r="AC137" s="63"/>
      <c r="AD137" s="75">
        <f t="shared" si="28"/>
        <v>0</v>
      </c>
    </row>
    <row r="138" spans="26:30" ht="15.75" x14ac:dyDescent="0.25">
      <c r="Z138" s="63">
        <f>43*Z17</f>
        <v>43516</v>
      </c>
      <c r="AA138" s="63"/>
      <c r="AB138" s="63"/>
      <c r="AC138" s="63"/>
      <c r="AD138" s="75">
        <f t="shared" si="28"/>
        <v>43516</v>
      </c>
    </row>
    <row r="139" spans="26:30" ht="15.75" x14ac:dyDescent="0.25">
      <c r="Z139" s="63">
        <f>(31*Z17)</f>
        <v>31372</v>
      </c>
      <c r="AA139" s="63"/>
      <c r="AB139" s="63"/>
      <c r="AC139" s="63"/>
      <c r="AD139" s="75">
        <f t="shared" si="28"/>
        <v>31372</v>
      </c>
    </row>
    <row r="140" spans="26:30" ht="15.75" x14ac:dyDescent="0.25">
      <c r="Z140" s="64"/>
      <c r="AA140" s="64">
        <f>230*AA21</f>
        <v>28750</v>
      </c>
      <c r="AB140" s="64"/>
      <c r="AC140" s="64"/>
      <c r="AD140" s="75">
        <f t="shared" si="28"/>
        <v>28750</v>
      </c>
    </row>
    <row r="141" spans="26:30" ht="15.75" x14ac:dyDescent="0.25">
      <c r="Z141" s="76">
        <f>SUM(Z135:Z140)</f>
        <v>363638</v>
      </c>
      <c r="AA141" s="76">
        <f t="shared" ref="AA141:AD141" si="29">SUM(AA135:AA140)</f>
        <v>28750</v>
      </c>
      <c r="AB141" s="76">
        <f t="shared" si="29"/>
        <v>0</v>
      </c>
      <c r="AC141" s="76">
        <f t="shared" si="29"/>
        <v>0</v>
      </c>
      <c r="AD141" s="76">
        <f t="shared" si="29"/>
        <v>392388</v>
      </c>
    </row>
    <row r="142" spans="26:30" ht="15.75" x14ac:dyDescent="0.25">
      <c r="Z142" s="77"/>
      <c r="AA142" s="77"/>
      <c r="AB142" s="77"/>
      <c r="AC142" s="77"/>
      <c r="AD142" s="77"/>
    </row>
    <row r="143" spans="26:30" ht="15.75" x14ac:dyDescent="0.25">
      <c r="Z143" s="78" t="s">
        <v>157</v>
      </c>
      <c r="AA143" s="78" t="s">
        <v>158</v>
      </c>
      <c r="AB143" s="78" t="s">
        <v>159</v>
      </c>
      <c r="AC143" s="78" t="str">
        <f>AC134</f>
        <v>Other</v>
      </c>
      <c r="AD143" s="78" t="str">
        <f>AD134</f>
        <v>FY31- VV</v>
      </c>
    </row>
    <row r="144" spans="26:30" ht="15.75" x14ac:dyDescent="0.25">
      <c r="Z144" s="75">
        <f>38*Z17</f>
        <v>38456</v>
      </c>
      <c r="AA144" s="75"/>
      <c r="AB144" s="75"/>
      <c r="AC144" s="75"/>
      <c r="AD144" s="75">
        <f>SUM(Z144:AC144)</f>
        <v>38456</v>
      </c>
    </row>
    <row r="145" spans="26:30" ht="15.75" x14ac:dyDescent="0.25">
      <c r="Z145" s="63">
        <f>(8*Z17)</f>
        <v>8096</v>
      </c>
      <c r="AA145" s="63"/>
      <c r="AB145" s="63"/>
      <c r="AC145" s="63"/>
      <c r="AD145" s="75">
        <f t="shared" ref="AD145:AD148" si="30">SUM(Z145:AC145)</f>
        <v>8096</v>
      </c>
    </row>
    <row r="146" spans="26:30" ht="15.75" x14ac:dyDescent="0.25">
      <c r="Z146" s="63">
        <f>13.25*Z17</f>
        <v>13409</v>
      </c>
      <c r="AA146" s="63"/>
      <c r="AB146" s="63"/>
      <c r="AC146" s="63"/>
      <c r="AD146" s="75">
        <f t="shared" si="30"/>
        <v>13409</v>
      </c>
    </row>
    <row r="147" spans="26:30" ht="15.75" x14ac:dyDescent="0.25">
      <c r="Z147" s="63"/>
      <c r="AA147" s="63"/>
      <c r="AB147" s="63"/>
      <c r="AC147" s="63"/>
      <c r="AD147" s="75">
        <f t="shared" si="30"/>
        <v>0</v>
      </c>
    </row>
    <row r="148" spans="26:30" ht="15.75" x14ac:dyDescent="0.25">
      <c r="Z148" s="64">
        <f>64*Z17</f>
        <v>64768</v>
      </c>
      <c r="AA148" s="64"/>
      <c r="AB148" s="64"/>
      <c r="AC148" s="64"/>
      <c r="AD148" s="75">
        <f t="shared" si="30"/>
        <v>64768</v>
      </c>
    </row>
    <row r="149" spans="26:30" ht="15.75" x14ac:dyDescent="0.25">
      <c r="Z149" s="76">
        <f>SUM(Z144:Z148)</f>
        <v>124729</v>
      </c>
      <c r="AA149" s="76">
        <f t="shared" ref="AA149:AD149" si="31">SUM(AA144:AA148)</f>
        <v>0</v>
      </c>
      <c r="AB149" s="76">
        <f t="shared" si="31"/>
        <v>0</v>
      </c>
      <c r="AC149" s="76">
        <f t="shared" si="31"/>
        <v>0</v>
      </c>
      <c r="AD149" s="76">
        <f t="shared" si="31"/>
        <v>124729</v>
      </c>
    </row>
    <row r="150" spans="26:30" ht="15.75" x14ac:dyDescent="0.25">
      <c r="Z150" s="77"/>
      <c r="AA150" s="77"/>
      <c r="AB150" s="77"/>
      <c r="AC150" s="77"/>
      <c r="AD150" s="77"/>
    </row>
    <row r="151" spans="26:30" ht="15.75" x14ac:dyDescent="0.25">
      <c r="Z151" s="78" t="s">
        <v>157</v>
      </c>
      <c r="AA151" s="78" t="s">
        <v>158</v>
      </c>
      <c r="AB151" s="78" t="s">
        <v>159</v>
      </c>
      <c r="AC151" s="78" t="str">
        <f>AC134</f>
        <v>Other</v>
      </c>
      <c r="AD151" s="78" t="str">
        <f>AD134</f>
        <v>FY31- VV</v>
      </c>
    </row>
    <row r="152" spans="26:30" ht="15.75" x14ac:dyDescent="0.25">
      <c r="Z152" s="60">
        <v>0</v>
      </c>
      <c r="AA152" s="75"/>
      <c r="AB152" s="75"/>
      <c r="AC152" s="75"/>
      <c r="AD152" s="75">
        <f>SUM(Z152:AC152)</f>
        <v>0</v>
      </c>
    </row>
    <row r="153" spans="26:30" ht="15.75" x14ac:dyDescent="0.25">
      <c r="Z153" s="63"/>
      <c r="AA153" s="61">
        <f>(265*Z17)</f>
        <v>268180</v>
      </c>
      <c r="AB153" s="63"/>
      <c r="AC153" s="63"/>
      <c r="AD153" s="75">
        <f t="shared" ref="AD153:AD158" si="32">SUM(Z153:AC153)</f>
        <v>268180</v>
      </c>
    </row>
    <row r="154" spans="26:30" ht="15.75" x14ac:dyDescent="0.25">
      <c r="Z154" s="63">
        <f>(220*11*Z36)-Z124</f>
        <v>101640</v>
      </c>
      <c r="AA154" s="63">
        <f>(220*11*AA36)-AA124</f>
        <v>12100</v>
      </c>
      <c r="AB154" s="63">
        <f>(195*11*AB36)-AB124</f>
        <v>0</v>
      </c>
      <c r="AC154" s="63">
        <f>(195*11*AC36)-AC124</f>
        <v>0</v>
      </c>
      <c r="AD154" s="75">
        <f t="shared" si="32"/>
        <v>113740</v>
      </c>
    </row>
    <row r="155" spans="26:30" ht="15.75" x14ac:dyDescent="0.25">
      <c r="Z155" s="63"/>
      <c r="AA155" s="63"/>
      <c r="AB155" s="63"/>
      <c r="AC155" s="63"/>
      <c r="AD155" s="75">
        <f t="shared" si="32"/>
        <v>0</v>
      </c>
    </row>
    <row r="156" spans="26:30" ht="15.75" x14ac:dyDescent="0.25">
      <c r="Z156" s="63">
        <f>Z68*0.005</f>
        <v>0</v>
      </c>
      <c r="AA156" s="63"/>
      <c r="AB156" s="63"/>
      <c r="AC156" s="63"/>
      <c r="AD156" s="75">
        <f t="shared" si="32"/>
        <v>0</v>
      </c>
    </row>
    <row r="157" spans="26:30" ht="15.75" x14ac:dyDescent="0.25">
      <c r="Z157" s="63">
        <f>(Z68*0.005)</f>
        <v>0</v>
      </c>
      <c r="AA157" s="63"/>
      <c r="AB157" s="63"/>
      <c r="AC157" s="63"/>
      <c r="AD157" s="75">
        <f t="shared" si="32"/>
        <v>0</v>
      </c>
    </row>
    <row r="158" spans="26:30" ht="15.75" x14ac:dyDescent="0.25">
      <c r="Z158" s="64"/>
      <c r="AA158" s="64"/>
      <c r="AB158" s="64"/>
      <c r="AC158" s="64"/>
      <c r="AD158" s="75">
        <f t="shared" si="32"/>
        <v>0</v>
      </c>
    </row>
    <row r="159" spans="26:30" ht="15.75" x14ac:dyDescent="0.25">
      <c r="Z159" s="76">
        <f t="shared" ref="Z159:AD159" si="33">SUM(Z152:Z158)</f>
        <v>101640</v>
      </c>
      <c r="AA159" s="76">
        <f t="shared" si="33"/>
        <v>280280</v>
      </c>
      <c r="AB159" s="76">
        <f t="shared" si="33"/>
        <v>0</v>
      </c>
      <c r="AC159" s="76">
        <f t="shared" si="33"/>
        <v>0</v>
      </c>
      <c r="AD159" s="76">
        <f t="shared" si="33"/>
        <v>381920</v>
      </c>
    </row>
    <row r="160" spans="26:30" ht="15.75" x14ac:dyDescent="0.25">
      <c r="Z160" s="77"/>
      <c r="AA160" s="77"/>
      <c r="AB160" s="77"/>
      <c r="AC160" s="77"/>
      <c r="AD160" s="77"/>
    </row>
    <row r="161" spans="26:30" ht="15.75" x14ac:dyDescent="0.25">
      <c r="Z161" s="78" t="s">
        <v>157</v>
      </c>
      <c r="AA161" s="78" t="s">
        <v>158</v>
      </c>
      <c r="AB161" s="78" t="s">
        <v>159</v>
      </c>
      <c r="AC161" s="78" t="str">
        <f>AC151</f>
        <v>Other</v>
      </c>
      <c r="AD161" s="78" t="str">
        <f>AD151</f>
        <v>FY31- VV</v>
      </c>
    </row>
    <row r="162" spans="26:30" ht="15.75" x14ac:dyDescent="0.25">
      <c r="Z162" s="75">
        <v>0</v>
      </c>
      <c r="AA162" s="75"/>
      <c r="AB162" s="75"/>
      <c r="AC162" s="75"/>
      <c r="AD162" s="75">
        <f>SUM(Z162:AC162)</f>
        <v>0</v>
      </c>
    </row>
    <row r="163" spans="26:30" ht="15.75" x14ac:dyDescent="0.25">
      <c r="Z163" s="63"/>
      <c r="AA163" s="63"/>
      <c r="AB163" s="63"/>
      <c r="AC163" s="63"/>
      <c r="AD163" s="75">
        <f t="shared" ref="AD163:AD170" si="34">SUM(Z163:AC163)</f>
        <v>0</v>
      </c>
    </row>
    <row r="164" spans="26:30" ht="15.75" x14ac:dyDescent="0.25">
      <c r="Z164" s="63">
        <f>532.25*Z17</f>
        <v>538637</v>
      </c>
      <c r="AA164" s="63"/>
      <c r="AB164" s="63"/>
      <c r="AC164" s="63"/>
      <c r="AD164" s="75">
        <f t="shared" si="34"/>
        <v>538637</v>
      </c>
    </row>
    <row r="165" spans="26:30" ht="15.75" x14ac:dyDescent="0.25">
      <c r="Z165" s="61">
        <f>(3700*12)*1.03*1.03*1.03*1.03</f>
        <v>49972.591164000005</v>
      </c>
      <c r="AA165" s="63"/>
      <c r="AB165" s="63"/>
      <c r="AC165" s="63"/>
      <c r="AD165" s="75">
        <f t="shared" si="34"/>
        <v>49972.591164000005</v>
      </c>
    </row>
    <row r="166" spans="26:30" ht="15.75" x14ac:dyDescent="0.25">
      <c r="Z166" s="63">
        <f>16000+1000</f>
        <v>17000</v>
      </c>
      <c r="AA166" s="63"/>
      <c r="AB166" s="63"/>
      <c r="AC166" s="63"/>
      <c r="AD166" s="75">
        <f t="shared" si="34"/>
        <v>17000</v>
      </c>
    </row>
    <row r="167" spans="26:30" ht="15.75" x14ac:dyDescent="0.25">
      <c r="Z167" s="63">
        <f>38500+1000</f>
        <v>39500</v>
      </c>
      <c r="AA167" s="63"/>
      <c r="AB167" s="63"/>
      <c r="AC167" s="63"/>
      <c r="AD167" s="75">
        <f t="shared" si="34"/>
        <v>39500</v>
      </c>
    </row>
    <row r="168" spans="26:30" ht="15.75" x14ac:dyDescent="0.25">
      <c r="Z168" s="63">
        <f>(49*Z17)</f>
        <v>49588</v>
      </c>
      <c r="AA168" s="63"/>
      <c r="AB168" s="63"/>
      <c r="AC168" s="63"/>
      <c r="AD168" s="75">
        <f t="shared" si="34"/>
        <v>49588</v>
      </c>
    </row>
    <row r="169" spans="26:30" ht="15.75" x14ac:dyDescent="0.25">
      <c r="Z169" s="63">
        <v>0</v>
      </c>
      <c r="AA169" s="63"/>
      <c r="AB169" s="63"/>
      <c r="AC169" s="63"/>
      <c r="AD169" s="75">
        <f t="shared" si="34"/>
        <v>0</v>
      </c>
    </row>
    <row r="170" spans="26:30" ht="15.75" x14ac:dyDescent="0.25">
      <c r="Z170" s="64">
        <f>Z68*0.0125</f>
        <v>0</v>
      </c>
      <c r="AA170" s="64"/>
      <c r="AB170" s="64"/>
      <c r="AC170" s="64"/>
      <c r="AD170" s="75">
        <f t="shared" si="34"/>
        <v>0</v>
      </c>
    </row>
    <row r="171" spans="26:30" ht="15.75" x14ac:dyDescent="0.25">
      <c r="Z171" s="76">
        <f>SUM(Z162:Z170)</f>
        <v>694697.59116399998</v>
      </c>
      <c r="AA171" s="76">
        <f t="shared" ref="AA171:AD171" si="35">SUM(AA162:AA170)</f>
        <v>0</v>
      </c>
      <c r="AB171" s="76">
        <f t="shared" si="35"/>
        <v>0</v>
      </c>
      <c r="AC171" s="76">
        <f t="shared" si="35"/>
        <v>0</v>
      </c>
      <c r="AD171" s="76">
        <f t="shared" si="35"/>
        <v>694697.59116399998</v>
      </c>
    </row>
    <row r="172" spans="26:30" ht="15.75" x14ac:dyDescent="0.25">
      <c r="Z172" s="77"/>
      <c r="AA172" s="77"/>
      <c r="AB172" s="77"/>
      <c r="AC172" s="77"/>
      <c r="AD172" s="77"/>
    </row>
    <row r="173" spans="26:30" ht="15.75" x14ac:dyDescent="0.25">
      <c r="Z173" s="78" t="s">
        <v>157</v>
      </c>
      <c r="AA173" s="78" t="s">
        <v>158</v>
      </c>
      <c r="AB173" s="78" t="s">
        <v>159</v>
      </c>
      <c r="AC173" s="78" t="str">
        <f>AC161</f>
        <v>Other</v>
      </c>
      <c r="AD173" s="78" t="str">
        <f>AD161</f>
        <v>FY31- VV</v>
      </c>
    </row>
    <row r="174" spans="26:30" ht="15.75" x14ac:dyDescent="0.25">
      <c r="Z174" s="60">
        <f>((1060*12)+(60*12))*1.03*1.02*1.02*1.02*1.01</f>
        <v>14837.419731456001</v>
      </c>
      <c r="AA174" s="75"/>
      <c r="AB174" s="75"/>
      <c r="AC174" s="75"/>
      <c r="AD174" s="75">
        <f>SUM(Z174:AC174)</f>
        <v>14837.419731456001</v>
      </c>
    </row>
    <row r="175" spans="26:30" ht="15.75" x14ac:dyDescent="0.25">
      <c r="Z175" s="60">
        <f>500+150+150+150+150+150</f>
        <v>1250</v>
      </c>
      <c r="AA175" s="63"/>
      <c r="AB175" s="63"/>
      <c r="AC175" s="63"/>
      <c r="AD175" s="75">
        <f t="shared" ref="AD175:AD193" si="36">SUM(Z175:AC175)</f>
        <v>1250</v>
      </c>
    </row>
    <row r="176" spans="26:30" ht="15.75" x14ac:dyDescent="0.25">
      <c r="Z176" s="60">
        <f>6500+500+500+500+500+500</f>
        <v>9000</v>
      </c>
      <c r="AA176" s="63"/>
      <c r="AB176" s="63"/>
      <c r="AC176" s="63"/>
      <c r="AD176" s="75">
        <f t="shared" si="36"/>
        <v>9000</v>
      </c>
    </row>
    <row r="177" spans="26:30" ht="15.75" x14ac:dyDescent="0.25">
      <c r="Z177" s="60">
        <f>40000*1.03*1.03*1.03*1.03</f>
        <v>45020.352400000003</v>
      </c>
      <c r="AA177" s="63"/>
      <c r="AB177" s="63"/>
      <c r="AC177" s="63"/>
      <c r="AD177" s="75">
        <f t="shared" si="36"/>
        <v>45020.352400000003</v>
      </c>
    </row>
    <row r="178" spans="26:30" ht="15.75" x14ac:dyDescent="0.25">
      <c r="Z178" s="60">
        <f>((2+2.5+0.4+1.95)*Z17)*1.03*1.02*1.02*1.02*1.02</f>
        <v>7728.7453061385622</v>
      </c>
      <c r="AA178" s="63"/>
      <c r="AB178" s="63"/>
      <c r="AC178" s="63"/>
      <c r="AD178" s="75">
        <f t="shared" si="36"/>
        <v>7728.7453061385622</v>
      </c>
    </row>
    <row r="179" spans="26:30" ht="15.75" x14ac:dyDescent="0.25">
      <c r="Z179" s="60">
        <f>208000*1.12</f>
        <v>232960.00000000003</v>
      </c>
      <c r="AA179" s="63"/>
      <c r="AB179" s="63"/>
      <c r="AC179" s="63"/>
      <c r="AD179" s="75">
        <f t="shared" si="36"/>
        <v>232960.00000000003</v>
      </c>
    </row>
    <row r="180" spans="26:30" ht="15.75" x14ac:dyDescent="0.25">
      <c r="Z180" s="60">
        <v>0</v>
      </c>
      <c r="AA180" s="63"/>
      <c r="AB180" s="61">
        <f>2.5*650*180</f>
        <v>292500</v>
      </c>
      <c r="AC180" s="63"/>
      <c r="AD180" s="75">
        <f t="shared" si="36"/>
        <v>292500</v>
      </c>
    </row>
    <row r="181" spans="26:30" ht="15.75" x14ac:dyDescent="0.25">
      <c r="Z181" s="60">
        <v>0</v>
      </c>
      <c r="AA181" s="63"/>
      <c r="AB181" s="61">
        <f>650*4*180</f>
        <v>468000</v>
      </c>
      <c r="AC181" s="63"/>
      <c r="AD181" s="75">
        <f t="shared" si="36"/>
        <v>468000</v>
      </c>
    </row>
    <row r="182" spans="26:30" ht="15.75" x14ac:dyDescent="0.25">
      <c r="Z182" s="60">
        <f>5000+2500+250+250+250+250</f>
        <v>8500</v>
      </c>
      <c r="AA182" s="63"/>
      <c r="AB182" s="63"/>
      <c r="AC182" s="63"/>
      <c r="AD182" s="75">
        <f t="shared" si="36"/>
        <v>8500</v>
      </c>
    </row>
    <row r="183" spans="26:30" ht="15.75" x14ac:dyDescent="0.25">
      <c r="Z183" s="60">
        <f>1000+100+100+100+100+100</f>
        <v>1500</v>
      </c>
      <c r="AA183" s="63"/>
      <c r="AB183" s="63"/>
      <c r="AC183" s="63"/>
      <c r="AD183" s="75">
        <f t="shared" si="36"/>
        <v>1500</v>
      </c>
    </row>
    <row r="184" spans="26:30" ht="15.75" x14ac:dyDescent="0.25">
      <c r="Z184" s="60">
        <f>1000+100+100+100+100+100</f>
        <v>1500</v>
      </c>
      <c r="AA184" s="63"/>
      <c r="AB184" s="63"/>
      <c r="AC184" s="63"/>
      <c r="AD184" s="75">
        <f t="shared" si="36"/>
        <v>1500</v>
      </c>
    </row>
    <row r="185" spans="26:30" ht="15.75" x14ac:dyDescent="0.25">
      <c r="Z185" s="63">
        <f>((9*1050)+1200+2500+3500)*1.03*1.01*1.01*1.01*1.01</f>
        <v>17845.838469495</v>
      </c>
      <c r="AA185" s="63"/>
      <c r="AB185" s="63"/>
      <c r="AC185" s="63"/>
      <c r="AD185" s="75">
        <f t="shared" si="36"/>
        <v>17845.838469495</v>
      </c>
    </row>
    <row r="186" spans="26:30" ht="15.75" x14ac:dyDescent="0.25">
      <c r="Z186" s="63"/>
      <c r="AA186" s="63"/>
      <c r="AB186" s="63"/>
      <c r="AC186" s="63"/>
      <c r="AD186" s="75">
        <f t="shared" si="36"/>
        <v>0</v>
      </c>
    </row>
    <row r="187" spans="26:30" ht="15.75" x14ac:dyDescent="0.25">
      <c r="Z187" s="63"/>
      <c r="AA187" s="63"/>
      <c r="AB187" s="63"/>
      <c r="AC187" s="63"/>
      <c r="AD187" s="75">
        <f t="shared" si="36"/>
        <v>0</v>
      </c>
    </row>
    <row r="188" spans="26:30" ht="15.75" x14ac:dyDescent="0.25">
      <c r="Z188" s="63">
        <v>0</v>
      </c>
      <c r="AA188" s="63"/>
      <c r="AB188" s="63"/>
      <c r="AC188" s="63"/>
      <c r="AD188" s="75">
        <f t="shared" si="36"/>
        <v>0</v>
      </c>
    </row>
    <row r="189" spans="26:30" ht="15.75" x14ac:dyDescent="0.25">
      <c r="Z189" s="63"/>
      <c r="AA189" s="63"/>
      <c r="AB189" s="63"/>
      <c r="AC189" s="63"/>
      <c r="AD189" s="75">
        <f t="shared" si="36"/>
        <v>0</v>
      </c>
    </row>
    <row r="190" spans="26:30" ht="15.75" x14ac:dyDescent="0.25">
      <c r="Z190" s="63"/>
      <c r="AA190" s="63"/>
      <c r="AB190" s="63"/>
      <c r="AC190" s="63"/>
      <c r="AD190" s="75">
        <f t="shared" si="36"/>
        <v>0</v>
      </c>
    </row>
    <row r="191" spans="26:30" ht="15.75" x14ac:dyDescent="0.25">
      <c r="Z191" s="63"/>
      <c r="AA191" s="63"/>
      <c r="AB191" s="63"/>
      <c r="AC191" s="63"/>
      <c r="AD191" s="75">
        <f t="shared" si="36"/>
        <v>0</v>
      </c>
    </row>
    <row r="192" spans="26:30" ht="15.75" x14ac:dyDescent="0.25">
      <c r="Z192" s="63">
        <v>5000</v>
      </c>
      <c r="AA192" s="63"/>
      <c r="AB192" s="63"/>
      <c r="AC192" s="63"/>
      <c r="AD192" s="75">
        <f t="shared" si="36"/>
        <v>5000</v>
      </c>
    </row>
    <row r="193" spans="26:30" ht="15.75" x14ac:dyDescent="0.25">
      <c r="Z193" s="64">
        <f>Z68*0.025</f>
        <v>0</v>
      </c>
      <c r="AA193" s="64"/>
      <c r="AB193" s="64"/>
      <c r="AC193" s="64"/>
      <c r="AD193" s="75">
        <f t="shared" si="36"/>
        <v>0</v>
      </c>
    </row>
    <row r="194" spans="26:30" ht="15.75" x14ac:dyDescent="0.25">
      <c r="Z194" s="76">
        <f>SUM(Z174:Z193)</f>
        <v>345142.3559070896</v>
      </c>
      <c r="AA194" s="76">
        <f t="shared" ref="AA194:AD194" si="37">SUM(AA174:AA193)</f>
        <v>0</v>
      </c>
      <c r="AB194" s="76">
        <f t="shared" si="37"/>
        <v>760500</v>
      </c>
      <c r="AC194" s="76">
        <f t="shared" si="37"/>
        <v>0</v>
      </c>
      <c r="AD194" s="76">
        <f t="shared" si="37"/>
        <v>1105642.3559070895</v>
      </c>
    </row>
    <row r="195" spans="26:30" ht="15.75" x14ac:dyDescent="0.25">
      <c r="Z195" s="77"/>
      <c r="AA195" s="77"/>
      <c r="AB195" s="77"/>
      <c r="AC195" s="77"/>
      <c r="AD195" s="77"/>
    </row>
    <row r="196" spans="26:30" ht="15.75" x14ac:dyDescent="0.25">
      <c r="Z196" s="78" t="s">
        <v>157</v>
      </c>
      <c r="AA196" s="78" t="s">
        <v>158</v>
      </c>
      <c r="AB196" s="78" t="s">
        <v>159</v>
      </c>
      <c r="AC196" s="78" t="str">
        <f>AC173</f>
        <v>Other</v>
      </c>
      <c r="AD196" s="78" t="str">
        <f>AD173</f>
        <v>FY31- VV</v>
      </c>
    </row>
    <row r="197" spans="26:30" ht="15.75" x14ac:dyDescent="0.25">
      <c r="Z197" s="60">
        <f>107500*1.03*1.02*1.03*1.03*1.03</f>
        <v>123412.04101650001</v>
      </c>
      <c r="AA197" s="75"/>
      <c r="AB197" s="75"/>
      <c r="AC197" s="75"/>
      <c r="AD197" s="75">
        <f>SUM(Z197:AC197)</f>
        <v>123412.04101650001</v>
      </c>
    </row>
    <row r="198" spans="26:30" ht="15.75" x14ac:dyDescent="0.25">
      <c r="Z198" s="60">
        <v>0</v>
      </c>
      <c r="AA198" s="63"/>
      <c r="AB198" s="63"/>
      <c r="AC198" s="63"/>
      <c r="AD198" s="75">
        <f t="shared" ref="AD198:AD206" si="38">SUM(Z198:AC198)</f>
        <v>0</v>
      </c>
    </row>
    <row r="199" spans="26:30" ht="15.75" x14ac:dyDescent="0.25">
      <c r="Z199" s="60">
        <f>55000*1.03*1.02*1.02*1.03*1.02</f>
        <v>61920.956196000006</v>
      </c>
      <c r="AA199" s="63"/>
      <c r="AB199" s="63"/>
      <c r="AC199" s="63"/>
      <c r="AD199" s="75">
        <f t="shared" si="38"/>
        <v>61920.956196000006</v>
      </c>
    </row>
    <row r="200" spans="26:30" ht="15.75" x14ac:dyDescent="0.25">
      <c r="Z200" s="60">
        <f>35000*1.03*1.02*1.03*1.02*1.02</f>
        <v>39404.244852000003</v>
      </c>
      <c r="AA200" s="63"/>
      <c r="AB200" s="63"/>
      <c r="AC200" s="63"/>
      <c r="AD200" s="75">
        <f t="shared" si="38"/>
        <v>39404.244852000003</v>
      </c>
    </row>
    <row r="201" spans="26:30" ht="15.75" x14ac:dyDescent="0.25">
      <c r="Z201" s="60">
        <f>7500+500+500+500+500+500</f>
        <v>10000</v>
      </c>
      <c r="AA201" s="63"/>
      <c r="AB201" s="63"/>
      <c r="AC201" s="63"/>
      <c r="AD201" s="75">
        <f t="shared" si="38"/>
        <v>10000</v>
      </c>
    </row>
    <row r="202" spans="26:30" ht="15.75" x14ac:dyDescent="0.25">
      <c r="Z202" s="60">
        <f>(((7105*13)+5000))*1.05*1.03*1.03*1.03*1.04</f>
        <v>116181.55387566</v>
      </c>
      <c r="AA202" s="63"/>
      <c r="AB202" s="63"/>
      <c r="AC202" s="63"/>
      <c r="AD202" s="75">
        <f t="shared" si="38"/>
        <v>116181.55387566</v>
      </c>
    </row>
    <row r="203" spans="26:30" ht="15.75" x14ac:dyDescent="0.25">
      <c r="Z203" s="60">
        <f>100000+5000</f>
        <v>105000</v>
      </c>
      <c r="AA203" s="63"/>
      <c r="AB203" s="63">
        <v>0</v>
      </c>
      <c r="AC203" s="63"/>
      <c r="AD203" s="75">
        <f t="shared" si="38"/>
        <v>105000</v>
      </c>
    </row>
    <row r="204" spans="26:30" ht="15.75" x14ac:dyDescent="0.25">
      <c r="Z204" s="60">
        <v>0</v>
      </c>
      <c r="AA204" s="63"/>
      <c r="AB204" s="63"/>
      <c r="AC204" s="63"/>
      <c r="AD204" s="75">
        <f t="shared" si="38"/>
        <v>0</v>
      </c>
    </row>
    <row r="205" spans="26:30" ht="15.75" x14ac:dyDescent="0.25">
      <c r="Z205" s="60">
        <f>(((700*1.04)*12)+12000)*1.03*1.02*1.02*1.03*1.02</f>
        <v>23345.326321459201</v>
      </c>
      <c r="AA205" s="63"/>
      <c r="AB205" s="63"/>
      <c r="AC205" s="63"/>
      <c r="AD205" s="75">
        <f t="shared" si="38"/>
        <v>23345.326321459201</v>
      </c>
    </row>
    <row r="206" spans="26:30" ht="15.75" x14ac:dyDescent="0.25">
      <c r="Z206" s="60">
        <f>((12860*1.04)+20000)*1.03*1.02*1.02*1.03*1.02</f>
        <v>37574.086553959693</v>
      </c>
      <c r="AA206" s="64"/>
      <c r="AB206" s="64"/>
      <c r="AC206" s="64"/>
      <c r="AD206" s="75">
        <f t="shared" si="38"/>
        <v>37574.086553959693</v>
      </c>
    </row>
    <row r="207" spans="26:30" ht="15.75" x14ac:dyDescent="0.25">
      <c r="Z207" s="76">
        <f>SUM(Z197:Z206)</f>
        <v>516838.20881557895</v>
      </c>
      <c r="AA207" s="76">
        <f t="shared" ref="AA207:AD207" si="39">SUM(AA197:AA206)</f>
        <v>0</v>
      </c>
      <c r="AB207" s="76">
        <f t="shared" si="39"/>
        <v>0</v>
      </c>
      <c r="AC207" s="76">
        <f t="shared" si="39"/>
        <v>0</v>
      </c>
      <c r="AD207" s="76">
        <f t="shared" si="39"/>
        <v>516838.20881557895</v>
      </c>
    </row>
    <row r="208" spans="26:30" ht="16.5" thickBot="1" x14ac:dyDescent="0.3">
      <c r="Z208" s="77"/>
      <c r="AA208" s="77"/>
      <c r="AB208" s="77"/>
      <c r="AC208" s="77"/>
      <c r="AD208" s="77"/>
    </row>
    <row r="209" spans="26:30" ht="16.5" thickBot="1" x14ac:dyDescent="0.3">
      <c r="Z209" s="80">
        <f t="shared" ref="Z209:AD209" si="40">Z207+Z194+Z171+Z159+Z149+Z141+Z132+Z125+Z116+Z109</f>
        <v>8538292.9253435433</v>
      </c>
      <c r="AA209" s="80">
        <f t="shared" si="40"/>
        <v>1175810.0625</v>
      </c>
      <c r="AB209" s="80">
        <f t="shared" si="40"/>
        <v>852435</v>
      </c>
      <c r="AC209" s="80">
        <f t="shared" si="40"/>
        <v>0</v>
      </c>
      <c r="AD209" s="80">
        <f t="shared" si="40"/>
        <v>10566537.987843543</v>
      </c>
    </row>
    <row r="210" spans="26:30" ht="16.5" thickBot="1" x14ac:dyDescent="0.3">
      <c r="Z210" s="77"/>
      <c r="AA210" s="77"/>
      <c r="AB210" s="77"/>
      <c r="AC210" s="77"/>
      <c r="AD210" s="77"/>
    </row>
    <row r="211" spans="26:30" ht="16.5" thickBot="1" x14ac:dyDescent="0.3">
      <c r="Z211" s="81"/>
      <c r="AA211" s="81"/>
      <c r="AB211" s="81"/>
      <c r="AC211" s="81"/>
      <c r="AD211" s="81"/>
    </row>
    <row r="212" spans="26:30" ht="15.75" x14ac:dyDescent="0.25">
      <c r="Z212" s="82">
        <v>2554000</v>
      </c>
      <c r="AA212" s="82"/>
      <c r="AB212" s="82"/>
      <c r="AC212" s="82"/>
      <c r="AD212" s="82">
        <f>SUM(Z212:AC212)</f>
        <v>2554000</v>
      </c>
    </row>
    <row r="213" spans="26:30" ht="15.75" x14ac:dyDescent="0.25">
      <c r="Z213" s="83"/>
      <c r="AA213" s="83"/>
      <c r="AB213" s="83"/>
      <c r="AC213" s="83"/>
      <c r="AD213" s="82">
        <f t="shared" ref="AD213:AD215" si="41">SUM(Z213:AC213)</f>
        <v>0</v>
      </c>
    </row>
    <row r="214" spans="26:30" ht="15.75" x14ac:dyDescent="0.25">
      <c r="Z214" s="83"/>
      <c r="AA214" s="83"/>
      <c r="AB214" s="83"/>
      <c r="AC214" s="83"/>
      <c r="AD214" s="82">
        <f t="shared" si="41"/>
        <v>0</v>
      </c>
    </row>
    <row r="215" spans="26:30" ht="15.75" x14ac:dyDescent="0.25">
      <c r="Z215" s="84">
        <v>0</v>
      </c>
      <c r="AA215" s="84"/>
      <c r="AB215" s="84"/>
      <c r="AC215" s="84"/>
      <c r="AD215" s="82">
        <f t="shared" si="41"/>
        <v>0</v>
      </c>
    </row>
    <row r="216" spans="26:30" ht="15.75" x14ac:dyDescent="0.25">
      <c r="Z216" s="76">
        <f t="shared" ref="Z216:AD216" si="42">SUM(Z212:Z215)</f>
        <v>2554000</v>
      </c>
      <c r="AA216" s="76">
        <f t="shared" si="42"/>
        <v>0</v>
      </c>
      <c r="AB216" s="76">
        <f t="shared" si="42"/>
        <v>0</v>
      </c>
      <c r="AC216" s="76">
        <f t="shared" si="42"/>
        <v>0</v>
      </c>
      <c r="AD216" s="76">
        <f t="shared" si="42"/>
        <v>2554000</v>
      </c>
    </row>
    <row r="217" spans="26:30" ht="16.5" thickBot="1" x14ac:dyDescent="0.3">
      <c r="Z217" s="77"/>
      <c r="AA217" s="77"/>
      <c r="AB217" s="77"/>
      <c r="AC217" s="77"/>
      <c r="AD217" s="77"/>
    </row>
    <row r="218" spans="26:30" ht="16.5" thickBot="1" x14ac:dyDescent="0.3">
      <c r="Z218" s="85">
        <f t="shared" ref="Z218:AD218" si="43">(Z82+Z88)-(Z216+Z209)</f>
        <v>-10892292.925343543</v>
      </c>
      <c r="AA218" s="85">
        <f t="shared" si="43"/>
        <v>-531935.0625</v>
      </c>
      <c r="AB218" s="85">
        <f t="shared" si="43"/>
        <v>-50985</v>
      </c>
      <c r="AC218" s="85">
        <f t="shared" si="43"/>
        <v>0</v>
      </c>
      <c r="AD218" s="85">
        <f t="shared" si="43"/>
        <v>-11475212.987843543</v>
      </c>
    </row>
    <row r="219" spans="26:30" ht="15.75" x14ac:dyDescent="0.25">
      <c r="Z219" s="77"/>
      <c r="AA219" s="77"/>
      <c r="AB219" s="77"/>
      <c r="AC219" s="77"/>
      <c r="AD219" s="77"/>
    </row>
    <row r="220" spans="26:30" ht="15.75" x14ac:dyDescent="0.25">
      <c r="Z220" s="86" t="str">
        <f t="shared" ref="Z220:AD220" si="44">Z20</f>
        <v>Operating</v>
      </c>
      <c r="AA220" s="86" t="str">
        <f t="shared" si="44"/>
        <v>SPED</v>
      </c>
      <c r="AB220" s="86" t="str">
        <f t="shared" si="44"/>
        <v>NSLP</v>
      </c>
      <c r="AC220" s="86" t="str">
        <f t="shared" si="44"/>
        <v>Other</v>
      </c>
      <c r="AD220" s="86" t="str">
        <f t="shared" si="44"/>
        <v>FY31- VV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7C0C-EEEB-4A74-ABEF-3BD868F3B6D0}">
  <dimension ref="A1:BH220"/>
  <sheetViews>
    <sheetView tabSelected="1" view="pageBreakPreview" zoomScale="115" zoomScaleNormal="100" zoomScaleSheetLayoutView="115" workbookViewId="0">
      <selection sqref="A1:BB220"/>
    </sheetView>
  </sheetViews>
  <sheetFormatPr defaultRowHeight="15.75" x14ac:dyDescent="0.25"/>
  <cols>
    <col min="1" max="1" width="52.28515625" style="7" customWidth="1"/>
    <col min="2" max="3" width="13.42578125" customWidth="1"/>
    <col min="4" max="7" width="14.7109375" customWidth="1"/>
    <col min="9" max="10" width="13.42578125" customWidth="1"/>
    <col min="11" max="14" width="14.7109375" customWidth="1"/>
    <col min="16" max="16" width="13.85546875" bestFit="1" customWidth="1"/>
    <col min="17" max="21" width="13.42578125" customWidth="1"/>
    <col min="23" max="28" width="13.42578125" customWidth="1"/>
    <col min="29" max="29" width="4.7109375" customWidth="1"/>
    <col min="30" max="34" width="13.42578125" customWidth="1"/>
    <col min="35" max="35" width="4.140625" customWidth="1"/>
    <col min="36" max="40" width="13.42578125" customWidth="1"/>
    <col min="42" max="47" width="14.7109375" customWidth="1"/>
    <col min="49" max="54" width="14.7109375" customWidth="1"/>
    <col min="55" max="55" width="9.28515625" bestFit="1" customWidth="1"/>
  </cols>
  <sheetData>
    <row r="1" spans="1:54" x14ac:dyDescent="0.25">
      <c r="A1" s="1" t="s">
        <v>0</v>
      </c>
    </row>
    <row r="2" spans="1:54" x14ac:dyDescent="0.25">
      <c r="A2" s="2" t="s">
        <v>1</v>
      </c>
      <c r="B2" s="42">
        <f>'FY26'!B2</f>
        <v>9416</v>
      </c>
      <c r="C2" s="42">
        <f>'FY27'!B2</f>
        <v>9486</v>
      </c>
      <c r="D2" s="42">
        <f>'FY28'!B2</f>
        <v>9680</v>
      </c>
      <c r="E2" s="42">
        <f>'FY29'!B2</f>
        <v>9825</v>
      </c>
      <c r="F2" s="42">
        <f>'FY30'!B2</f>
        <v>9975</v>
      </c>
      <c r="G2" s="42">
        <f>'FY31'!B2</f>
        <v>10125</v>
      </c>
      <c r="I2" s="42">
        <f>'FY26'!H2</f>
        <v>9416</v>
      </c>
      <c r="J2" s="42">
        <f>'FY27'!H2</f>
        <v>9486</v>
      </c>
      <c r="K2" s="42">
        <f>'FY28'!H2</f>
        <v>9680</v>
      </c>
      <c r="L2" s="42">
        <f>'FY29'!H2</f>
        <v>9825</v>
      </c>
      <c r="M2" s="42">
        <f>'FY30'!H2</f>
        <v>9975</v>
      </c>
      <c r="N2" s="42">
        <f>'FY31'!H2</f>
        <v>10125</v>
      </c>
      <c r="P2" s="42">
        <f>'FY26'!N2</f>
        <v>9416</v>
      </c>
      <c r="Q2" s="42">
        <f>'FY27'!N2</f>
        <v>9486</v>
      </c>
      <c r="R2" s="42">
        <f>'FY28'!N2</f>
        <v>9680</v>
      </c>
      <c r="S2" s="42">
        <f>'FY29'!N2</f>
        <v>9825</v>
      </c>
      <c r="T2" s="42">
        <f>'FY30'!N2</f>
        <v>9975</v>
      </c>
      <c r="U2" s="42">
        <f>'FY31'!N2</f>
        <v>10125</v>
      </c>
      <c r="W2" s="42">
        <f>'FY26'!T2</f>
        <v>9416</v>
      </c>
      <c r="X2" s="42">
        <f>'FY27'!T2</f>
        <v>9486</v>
      </c>
      <c r="Y2" s="42">
        <f>'FY28'!T2</f>
        <v>9680</v>
      </c>
      <c r="Z2" s="42">
        <f>'FY29'!T2</f>
        <v>9825</v>
      </c>
      <c r="AA2" s="42">
        <f>'FY30'!T2</f>
        <v>9975</v>
      </c>
      <c r="AB2" s="42">
        <f>'FY31'!T2</f>
        <v>10125</v>
      </c>
      <c r="AC2" s="230"/>
      <c r="AD2" s="42">
        <f>'FY27'!Z2</f>
        <v>9486</v>
      </c>
      <c r="AE2" s="42">
        <f>'FY28'!Z2</f>
        <v>9680</v>
      </c>
      <c r="AF2" s="42">
        <f>'FY29'!Z2</f>
        <v>9825</v>
      </c>
      <c r="AG2" s="42">
        <f>'FY30'!Z2</f>
        <v>9975</v>
      </c>
      <c r="AH2" s="42">
        <f>'FY31'!Z2</f>
        <v>10125</v>
      </c>
      <c r="AJ2" s="42">
        <f>'FY27'!AF2</f>
        <v>9486</v>
      </c>
      <c r="AK2" s="42">
        <f>'FY28'!AF2</f>
        <v>9680</v>
      </c>
      <c r="AL2" s="42">
        <f>'FY29'!AF2</f>
        <v>9825</v>
      </c>
      <c r="AM2" s="42">
        <f>'FY29'!AF2</f>
        <v>9825</v>
      </c>
      <c r="AN2" s="42">
        <f>'FY31'!AF2</f>
        <v>10125</v>
      </c>
      <c r="AW2" s="42">
        <f>'FY26'!AF2</f>
        <v>9416</v>
      </c>
      <c r="AX2" s="42">
        <f>'FY27'!AR2</f>
        <v>9486</v>
      </c>
      <c r="AY2" s="42">
        <f>'FY28'!AR2</f>
        <v>9680</v>
      </c>
      <c r="AZ2" s="42">
        <f>'FY29'!AR2</f>
        <v>9825</v>
      </c>
      <c r="BA2" s="42">
        <f>'FY30'!AR2</f>
        <v>9975</v>
      </c>
      <c r="BB2" s="42">
        <f>'FY31'!AR2</f>
        <v>10125</v>
      </c>
    </row>
    <row r="3" spans="1:54" x14ac:dyDescent="0.25">
      <c r="A3" s="3" t="s">
        <v>2</v>
      </c>
      <c r="B3" s="43">
        <f>B4+B5+B6+B7+B8+B9+B10+B11+B12+B13+B14+B15+B16</f>
        <v>1028</v>
      </c>
      <c r="C3" s="43">
        <f>'FY27'!B3</f>
        <v>1028</v>
      </c>
      <c r="D3" s="43">
        <f>'FY28'!B3</f>
        <v>1028</v>
      </c>
      <c r="E3" s="43">
        <f>'FY29'!B3</f>
        <v>1028</v>
      </c>
      <c r="F3" s="43">
        <f>'FY30'!B3</f>
        <v>1028</v>
      </c>
      <c r="G3" s="43">
        <f>'FY31'!B3</f>
        <v>1028</v>
      </c>
      <c r="I3" s="43">
        <f>'FY26'!H3</f>
        <v>1028</v>
      </c>
      <c r="J3" s="43">
        <f>'FY27'!H3</f>
        <v>1028</v>
      </c>
      <c r="K3" s="43">
        <f>'FY28'!H3</f>
        <v>1028</v>
      </c>
      <c r="L3" s="43">
        <f>'FY29'!H3</f>
        <v>1028</v>
      </c>
      <c r="M3" s="43">
        <f>'FY30'!H3</f>
        <v>1028</v>
      </c>
      <c r="N3" s="43">
        <f>'FY31'!H3</f>
        <v>1028</v>
      </c>
      <c r="P3" s="43">
        <f>'FY26'!N3</f>
        <v>2443</v>
      </c>
      <c r="Q3" s="43">
        <f>'FY27'!N3</f>
        <v>2459</v>
      </c>
      <c r="R3" s="43">
        <f>'FY28'!N3</f>
        <v>2478</v>
      </c>
      <c r="S3" s="43">
        <f>'FY29'!N3</f>
        <v>2511</v>
      </c>
      <c r="T3" s="43">
        <f>'FY30'!N3</f>
        <v>2520</v>
      </c>
      <c r="U3" s="43">
        <f>'FY31'!N3</f>
        <v>2511</v>
      </c>
      <c r="W3" s="43">
        <f>'FY26'!T3</f>
        <v>474</v>
      </c>
      <c r="X3" s="43">
        <f>'FY27'!T3</f>
        <v>533</v>
      </c>
      <c r="Y3" s="43">
        <f>'FY28'!T3</f>
        <v>535</v>
      </c>
      <c r="Z3" s="43">
        <f>'FY29'!T3</f>
        <v>537</v>
      </c>
      <c r="AA3" s="43">
        <f>'FY30'!T3</f>
        <v>539</v>
      </c>
      <c r="AB3" s="43">
        <f>'FY31'!T3</f>
        <v>540</v>
      </c>
      <c r="AC3" s="231"/>
      <c r="AD3" s="43">
        <f>'FY27'!Z3</f>
        <v>429</v>
      </c>
      <c r="AE3" s="43">
        <f>'FY28'!Z3</f>
        <v>614</v>
      </c>
      <c r="AF3" s="43">
        <f>'FY29'!Z3</f>
        <v>883</v>
      </c>
      <c r="AG3" s="43">
        <f>'FY30'!Z3</f>
        <v>1144</v>
      </c>
      <c r="AH3" s="43">
        <f>'FY31'!Z3</f>
        <v>1361</v>
      </c>
      <c r="AJ3" s="43">
        <f>'FY27'!AF3</f>
        <v>0</v>
      </c>
      <c r="AK3" s="43">
        <f>'FY28'!AF3</f>
        <v>780</v>
      </c>
      <c r="AL3" s="43">
        <f>'FY29'!AF3</f>
        <v>929</v>
      </c>
      <c r="AM3" s="43">
        <f>'FY29'!AF3</f>
        <v>929</v>
      </c>
      <c r="AN3" s="43">
        <f>'FY31'!AF3</f>
        <v>1027</v>
      </c>
      <c r="AW3" s="43">
        <f>'FY26'!AF3</f>
        <v>4973</v>
      </c>
      <c r="AX3" s="43">
        <f>'FY27'!AR3</f>
        <v>5477</v>
      </c>
      <c r="AY3" s="43">
        <f>'FY28'!AR3</f>
        <v>6463</v>
      </c>
      <c r="AZ3" s="43">
        <f>'FY29'!AR3</f>
        <v>6916</v>
      </c>
      <c r="BA3" s="43">
        <f>'FY30'!AR3</f>
        <v>7302</v>
      </c>
      <c r="BB3" s="43">
        <f>'FY31'!AR3</f>
        <v>7495</v>
      </c>
    </row>
    <row r="4" spans="1:54" x14ac:dyDescent="0.25">
      <c r="A4" s="4" t="s">
        <v>3</v>
      </c>
      <c r="B4" s="44">
        <v>104</v>
      </c>
      <c r="C4" s="44">
        <f>'FY27'!B4</f>
        <v>104</v>
      </c>
      <c r="D4" s="44">
        <f>'FY28'!B4</f>
        <v>104</v>
      </c>
      <c r="E4" s="44">
        <f>'FY29'!B4</f>
        <v>104</v>
      </c>
      <c r="F4" s="44">
        <f>'FY30'!B4</f>
        <v>104</v>
      </c>
      <c r="G4" s="44">
        <f>'FY31'!B4</f>
        <v>104</v>
      </c>
      <c r="I4" s="44">
        <f>'FY26'!H4</f>
        <v>104</v>
      </c>
      <c r="J4" s="44">
        <f>'FY27'!H4</f>
        <v>104</v>
      </c>
      <c r="K4" s="44">
        <f>'FY28'!H4</f>
        <v>104</v>
      </c>
      <c r="L4" s="44">
        <f>'FY29'!H4</f>
        <v>104</v>
      </c>
      <c r="M4" s="44">
        <f>'FY30'!H4</f>
        <v>104</v>
      </c>
      <c r="N4" s="44">
        <f>'FY31'!H4</f>
        <v>104</v>
      </c>
      <c r="P4" s="44">
        <f>'FY26'!N4</f>
        <v>130</v>
      </c>
      <c r="Q4" s="44">
        <f>'FY27'!N4</f>
        <v>104</v>
      </c>
      <c r="R4" s="44">
        <f>'FY28'!N4</f>
        <v>104</v>
      </c>
      <c r="S4" s="44">
        <f>'FY29'!N4</f>
        <v>104</v>
      </c>
      <c r="T4" s="44">
        <f>'FY30'!N4</f>
        <v>104</v>
      </c>
      <c r="U4" s="44">
        <f>'FY31'!N4</f>
        <v>104</v>
      </c>
      <c r="W4" s="44">
        <f>'FY26'!T4</f>
        <v>75</v>
      </c>
      <c r="X4" s="44">
        <f>'FY27'!T4</f>
        <v>75</v>
      </c>
      <c r="Y4" s="44">
        <f>'FY28'!T4</f>
        <v>75</v>
      </c>
      <c r="Z4" s="44">
        <f>'FY29'!T4</f>
        <v>75</v>
      </c>
      <c r="AA4" s="44">
        <f>'FY30'!T4</f>
        <v>75</v>
      </c>
      <c r="AB4" s="44">
        <f>'FY31'!T4</f>
        <v>104</v>
      </c>
      <c r="AC4" s="232"/>
      <c r="AD4" s="44">
        <f>'FY27'!Z4</f>
        <v>78</v>
      </c>
      <c r="AE4" s="44">
        <f>'FY28'!Z4</f>
        <v>78</v>
      </c>
      <c r="AF4" s="44">
        <f>'FY29'!Z4</f>
        <v>78</v>
      </c>
      <c r="AG4" s="44">
        <f>'FY30'!Z4</f>
        <v>78</v>
      </c>
      <c r="AH4" s="44">
        <f>'FY31'!Z4</f>
        <v>78</v>
      </c>
      <c r="AJ4" s="44">
        <f>'FY27'!AF4</f>
        <v>0</v>
      </c>
      <c r="AK4" s="44">
        <f>'FY28'!AF4</f>
        <v>100</v>
      </c>
      <c r="AL4" s="44">
        <f>'FY29'!AF4</f>
        <v>104</v>
      </c>
      <c r="AM4" s="44">
        <f>'FY29'!AF4</f>
        <v>104</v>
      </c>
      <c r="AN4" s="44">
        <f>'FY31'!AF4</f>
        <v>100</v>
      </c>
      <c r="AW4" s="44">
        <f>'FY26'!AF4</f>
        <v>413</v>
      </c>
      <c r="AX4" s="44">
        <f>'FY27'!AR4</f>
        <v>465</v>
      </c>
      <c r="AY4" s="44">
        <f>'FY28'!AR4</f>
        <v>565</v>
      </c>
      <c r="AZ4" s="44">
        <f>'FY29'!AR4</f>
        <v>569</v>
      </c>
      <c r="BA4" s="44">
        <f>'FY30'!AR4</f>
        <v>565</v>
      </c>
      <c r="BB4" s="44">
        <f>'FY31'!AR4</f>
        <v>594</v>
      </c>
    </row>
    <row r="5" spans="1:54" x14ac:dyDescent="0.25">
      <c r="A5" s="3" t="s">
        <v>4</v>
      </c>
      <c r="B5" s="44">
        <v>111</v>
      </c>
      <c r="C5" s="44">
        <f>'FY27'!B5</f>
        <v>111</v>
      </c>
      <c r="D5" s="44">
        <f>'FY28'!B5</f>
        <v>111</v>
      </c>
      <c r="E5" s="44">
        <f>'FY29'!B5</f>
        <v>111</v>
      </c>
      <c r="F5" s="44">
        <f>'FY30'!B5</f>
        <v>111</v>
      </c>
      <c r="G5" s="44">
        <f>'FY31'!B5</f>
        <v>111</v>
      </c>
      <c r="I5" s="44">
        <f>'FY26'!H5</f>
        <v>111</v>
      </c>
      <c r="J5" s="44">
        <f>'FY27'!H5</f>
        <v>111</v>
      </c>
      <c r="K5" s="44">
        <f>'FY28'!H5</f>
        <v>111</v>
      </c>
      <c r="L5" s="44">
        <f>'FY29'!H5</f>
        <v>111</v>
      </c>
      <c r="M5" s="44">
        <f>'FY30'!H5</f>
        <v>111</v>
      </c>
      <c r="N5" s="44">
        <f>'FY31'!H5</f>
        <v>111</v>
      </c>
      <c r="P5" s="44">
        <f>'FY26'!N5</f>
        <v>135</v>
      </c>
      <c r="Q5" s="44">
        <f>'FY27'!N5</f>
        <v>135</v>
      </c>
      <c r="R5" s="44">
        <f>'FY28'!N5</f>
        <v>104</v>
      </c>
      <c r="S5" s="44">
        <f>'FY29'!N5</f>
        <v>111</v>
      </c>
      <c r="T5" s="44">
        <f>'FY30'!N5</f>
        <v>111</v>
      </c>
      <c r="U5" s="44">
        <f>'FY31'!N5</f>
        <v>111</v>
      </c>
      <c r="W5" s="44">
        <f>'FY26'!T5</f>
        <v>78</v>
      </c>
      <c r="X5" s="44">
        <f>'FY27'!T5</f>
        <v>102</v>
      </c>
      <c r="Y5" s="44">
        <f>'FY28'!T5</f>
        <v>78</v>
      </c>
      <c r="Z5" s="44">
        <f>'FY29'!T5</f>
        <v>78</v>
      </c>
      <c r="AA5" s="44">
        <f>'FY30'!T5</f>
        <v>78</v>
      </c>
      <c r="AB5" s="44">
        <f>'FY31'!T5</f>
        <v>78</v>
      </c>
      <c r="AC5" s="232"/>
      <c r="AD5" s="44">
        <f>'FY27'!Z5</f>
        <v>78</v>
      </c>
      <c r="AE5" s="44">
        <f>'FY28'!Z5</f>
        <v>83</v>
      </c>
      <c r="AF5" s="44">
        <f>'FY29'!Z5</f>
        <v>78</v>
      </c>
      <c r="AG5" s="44">
        <f>'FY30'!Z5</f>
        <v>83</v>
      </c>
      <c r="AH5" s="44">
        <f>'FY31'!Z5</f>
        <v>83</v>
      </c>
      <c r="AJ5" s="44">
        <f>'FY27'!AF5</f>
        <v>0</v>
      </c>
      <c r="AK5" s="44">
        <f>'FY28'!AF5</f>
        <v>111</v>
      </c>
      <c r="AL5" s="44">
        <f>'FY29'!AF5</f>
        <v>111</v>
      </c>
      <c r="AM5" s="44">
        <f>'FY29'!AF5</f>
        <v>111</v>
      </c>
      <c r="AN5" s="44">
        <f>'FY31'!AF5</f>
        <v>111</v>
      </c>
      <c r="AW5" s="44">
        <f>'FY26'!AF5</f>
        <v>435</v>
      </c>
      <c r="AX5" s="44">
        <f>'FY27'!AR5</f>
        <v>537</v>
      </c>
      <c r="AY5" s="44">
        <f>'FY28'!AR5</f>
        <v>598</v>
      </c>
      <c r="AZ5" s="44">
        <f>'FY29'!AR5</f>
        <v>600</v>
      </c>
      <c r="BA5" s="44">
        <f>'FY30'!AR5</f>
        <v>602</v>
      </c>
      <c r="BB5" s="44">
        <f>'FY31'!AR5</f>
        <v>605</v>
      </c>
    </row>
    <row r="6" spans="1:54" x14ac:dyDescent="0.25">
      <c r="A6" s="3" t="s">
        <v>5</v>
      </c>
      <c r="B6" s="44">
        <v>111</v>
      </c>
      <c r="C6" s="44">
        <f>'FY27'!B6</f>
        <v>111</v>
      </c>
      <c r="D6" s="44">
        <f>'FY28'!B6</f>
        <v>111</v>
      </c>
      <c r="E6" s="44">
        <f>'FY29'!B6</f>
        <v>111</v>
      </c>
      <c r="F6" s="44">
        <f>'FY30'!B6</f>
        <v>111</v>
      </c>
      <c r="G6" s="44">
        <f>'FY31'!B6</f>
        <v>111</v>
      </c>
      <c r="I6" s="44">
        <f>'FY26'!H6</f>
        <v>111</v>
      </c>
      <c r="J6" s="44">
        <f>'FY27'!H6</f>
        <v>111</v>
      </c>
      <c r="K6" s="44">
        <f>'FY28'!H6</f>
        <v>111</v>
      </c>
      <c r="L6" s="44">
        <f>'FY29'!H6</f>
        <v>111</v>
      </c>
      <c r="M6" s="44">
        <f>'FY30'!H6</f>
        <v>111</v>
      </c>
      <c r="N6" s="44">
        <f>'FY31'!H6</f>
        <v>111</v>
      </c>
      <c r="P6" s="44">
        <f>'FY26'!N6</f>
        <v>135</v>
      </c>
      <c r="Q6" s="44">
        <f>'FY27'!N6</f>
        <v>135</v>
      </c>
      <c r="R6" s="44">
        <f>'FY28'!N6</f>
        <v>135</v>
      </c>
      <c r="S6" s="44">
        <f>'FY29'!N6</f>
        <v>111</v>
      </c>
      <c r="T6" s="44">
        <f>'FY30'!N6</f>
        <v>111</v>
      </c>
      <c r="U6" s="44">
        <f>'FY31'!N6</f>
        <v>111</v>
      </c>
      <c r="W6" s="44">
        <f>'FY26'!T6</f>
        <v>84</v>
      </c>
      <c r="X6" s="44">
        <f>'FY27'!T6</f>
        <v>110</v>
      </c>
      <c r="Y6" s="44">
        <f>'FY28'!T6</f>
        <v>109</v>
      </c>
      <c r="Z6" s="44">
        <f>'FY29'!T6</f>
        <v>84</v>
      </c>
      <c r="AA6" s="44">
        <f>'FY30'!T6</f>
        <v>84</v>
      </c>
      <c r="AB6" s="44">
        <f>'FY31'!T6</f>
        <v>84</v>
      </c>
      <c r="AC6" s="232"/>
      <c r="AD6" s="44">
        <f>'FY27'!Z6</f>
        <v>78</v>
      </c>
      <c r="AE6" s="44">
        <f>'FY28'!Z6</f>
        <v>83</v>
      </c>
      <c r="AF6" s="44">
        <f>'FY29'!Z6</f>
        <v>78</v>
      </c>
      <c r="AG6" s="44">
        <f>'FY30'!Z6</f>
        <v>83</v>
      </c>
      <c r="AH6" s="44">
        <f>'FY31'!Z6</f>
        <v>83</v>
      </c>
      <c r="AJ6" s="44">
        <f>'FY27'!AF6</f>
        <v>0</v>
      </c>
      <c r="AK6" s="44">
        <f>'FY28'!AF6</f>
        <v>111</v>
      </c>
      <c r="AL6" s="44">
        <f>'FY29'!AF6</f>
        <v>111</v>
      </c>
      <c r="AM6" s="44">
        <f>'FY29'!AF6</f>
        <v>111</v>
      </c>
      <c r="AN6" s="44">
        <f>'FY31'!AF6</f>
        <v>111</v>
      </c>
      <c r="AW6" s="44">
        <f>'FY26'!AF6</f>
        <v>441</v>
      </c>
      <c r="AX6" s="44">
        <f>'FY27'!AR6</f>
        <v>545</v>
      </c>
      <c r="AY6" s="44">
        <f>'FY28'!AR6</f>
        <v>660</v>
      </c>
      <c r="AZ6" s="44">
        <f>'FY29'!AR6</f>
        <v>606</v>
      </c>
      <c r="BA6" s="44">
        <f>'FY30'!AR6</f>
        <v>608</v>
      </c>
      <c r="BB6" s="44">
        <f>'FY31'!AR6</f>
        <v>611</v>
      </c>
    </row>
    <row r="7" spans="1:54" x14ac:dyDescent="0.25">
      <c r="A7" s="5" t="s">
        <v>6</v>
      </c>
      <c r="B7" s="44">
        <v>111</v>
      </c>
      <c r="C7" s="44">
        <f>'FY27'!B7</f>
        <v>111</v>
      </c>
      <c r="D7" s="44">
        <f>'FY28'!B7</f>
        <v>111</v>
      </c>
      <c r="E7" s="44">
        <f>'FY29'!B7</f>
        <v>111</v>
      </c>
      <c r="F7" s="44">
        <f>'FY30'!B7</f>
        <v>111</v>
      </c>
      <c r="G7" s="44">
        <f>'FY31'!B7</f>
        <v>111</v>
      </c>
      <c r="I7" s="44">
        <f>'FY26'!H7</f>
        <v>111</v>
      </c>
      <c r="J7" s="44">
        <f>'FY27'!H7</f>
        <v>111</v>
      </c>
      <c r="K7" s="44">
        <f>'FY28'!H7</f>
        <v>111</v>
      </c>
      <c r="L7" s="44">
        <f>'FY29'!H7</f>
        <v>111</v>
      </c>
      <c r="M7" s="44">
        <f>'FY30'!H7</f>
        <v>111</v>
      </c>
      <c r="N7" s="44">
        <f>'FY31'!H7</f>
        <v>111</v>
      </c>
      <c r="P7" s="44">
        <f>'FY26'!N7</f>
        <v>140</v>
      </c>
      <c r="Q7" s="44">
        <f>'FY27'!N7</f>
        <v>140</v>
      </c>
      <c r="R7" s="44">
        <f>'FY28'!N7</f>
        <v>140</v>
      </c>
      <c r="S7" s="44">
        <f>'FY29'!N7</f>
        <v>140</v>
      </c>
      <c r="T7" s="44">
        <f>'FY30'!N7</f>
        <v>111</v>
      </c>
      <c r="U7" s="44">
        <f>'FY31'!N7</f>
        <v>111</v>
      </c>
      <c r="W7" s="44">
        <f>'FY26'!T7</f>
        <v>81</v>
      </c>
      <c r="X7" s="44">
        <f>'FY27'!T7</f>
        <v>82</v>
      </c>
      <c r="Y7" s="44">
        <f>'FY28'!T7</f>
        <v>109</v>
      </c>
      <c r="Z7" s="44">
        <f>'FY29'!T7</f>
        <v>109</v>
      </c>
      <c r="AA7" s="44">
        <f>'FY30'!T7</f>
        <v>82</v>
      </c>
      <c r="AB7" s="44">
        <f>'FY31'!T7</f>
        <v>82</v>
      </c>
      <c r="AC7" s="232"/>
      <c r="AD7" s="44">
        <f>'FY27'!Z7</f>
        <v>81</v>
      </c>
      <c r="AE7" s="44">
        <f>'FY28'!Z7</f>
        <v>83</v>
      </c>
      <c r="AF7" s="44">
        <f>'FY29'!Z7</f>
        <v>81</v>
      </c>
      <c r="AG7" s="44">
        <f>'FY30'!Z7</f>
        <v>83</v>
      </c>
      <c r="AH7" s="44">
        <f>'FY31'!Z7</f>
        <v>83</v>
      </c>
      <c r="AJ7" s="44">
        <f>'FY27'!AF7</f>
        <v>0</v>
      </c>
      <c r="AK7" s="44">
        <f>'FY28'!AF7</f>
        <v>111</v>
      </c>
      <c r="AL7" s="44">
        <f>'FY29'!AF7</f>
        <v>108</v>
      </c>
      <c r="AM7" s="44">
        <f>'FY29'!AF7</f>
        <v>108</v>
      </c>
      <c r="AN7" s="44">
        <f>'FY31'!AF7</f>
        <v>111</v>
      </c>
      <c r="AW7" s="44">
        <f>'FY26'!AF7</f>
        <v>443</v>
      </c>
      <c r="AX7" s="44">
        <f>'FY27'!AR7</f>
        <v>525</v>
      </c>
      <c r="AY7" s="44">
        <f>'FY28'!AR7</f>
        <v>665</v>
      </c>
      <c r="AZ7" s="44">
        <f>'FY29'!AR7</f>
        <v>660</v>
      </c>
      <c r="BA7" s="44">
        <f>'FY30'!AR7</f>
        <v>606</v>
      </c>
      <c r="BB7" s="44">
        <f>'FY31'!AR7</f>
        <v>609</v>
      </c>
    </row>
    <row r="8" spans="1:54" x14ac:dyDescent="0.25">
      <c r="A8" s="5" t="s">
        <v>7</v>
      </c>
      <c r="B8" s="44">
        <v>111</v>
      </c>
      <c r="C8" s="44">
        <f>'FY27'!B8</f>
        <v>111</v>
      </c>
      <c r="D8" s="44">
        <f>'FY28'!B8</f>
        <v>111</v>
      </c>
      <c r="E8" s="44">
        <f>'FY29'!B8</f>
        <v>111</v>
      </c>
      <c r="F8" s="44">
        <f>'FY30'!B8</f>
        <v>111</v>
      </c>
      <c r="G8" s="44">
        <f>'FY31'!B8</f>
        <v>111</v>
      </c>
      <c r="I8" s="44">
        <f>'FY26'!H8</f>
        <v>111</v>
      </c>
      <c r="J8" s="44">
        <f>'FY27'!H8</f>
        <v>111</v>
      </c>
      <c r="K8" s="44">
        <f>'FY28'!H8</f>
        <v>111</v>
      </c>
      <c r="L8" s="44">
        <f>'FY29'!H8</f>
        <v>111</v>
      </c>
      <c r="M8" s="44">
        <f>'FY30'!H8</f>
        <v>111</v>
      </c>
      <c r="N8" s="44">
        <f>'FY31'!H8</f>
        <v>111</v>
      </c>
      <c r="P8" s="44">
        <f>'FY26'!N8</f>
        <v>140</v>
      </c>
      <c r="Q8" s="44">
        <f>'FY27'!N8</f>
        <v>140</v>
      </c>
      <c r="R8" s="44">
        <f>'FY28'!N8</f>
        <v>140</v>
      </c>
      <c r="S8" s="44">
        <f>'FY29'!N8</f>
        <v>140</v>
      </c>
      <c r="T8" s="44">
        <f>'FY30'!N8</f>
        <v>140</v>
      </c>
      <c r="U8" s="44">
        <f>'FY31'!N8</f>
        <v>111</v>
      </c>
      <c r="W8" s="44">
        <f>'FY26'!T8</f>
        <v>77</v>
      </c>
      <c r="X8" s="44">
        <f>'FY27'!T8</f>
        <v>82</v>
      </c>
      <c r="Y8" s="44">
        <f>'FY28'!T8</f>
        <v>82</v>
      </c>
      <c r="Z8" s="44">
        <f>'FY29'!T8</f>
        <v>109</v>
      </c>
      <c r="AA8" s="44">
        <f>'FY30'!T8</f>
        <v>110</v>
      </c>
      <c r="AB8" s="44">
        <f>'FY31'!T8</f>
        <v>82</v>
      </c>
      <c r="AC8" s="232"/>
      <c r="AD8" s="44">
        <f>'FY27'!Z8</f>
        <v>26</v>
      </c>
      <c r="AE8" s="44">
        <f>'FY28'!Z8</f>
        <v>82</v>
      </c>
      <c r="AF8" s="44">
        <f>'FY29'!Z8</f>
        <v>81</v>
      </c>
      <c r="AG8" s="44">
        <f>'FY30'!Z8</f>
        <v>83</v>
      </c>
      <c r="AH8" s="44">
        <f>'FY31'!Z8</f>
        <v>83</v>
      </c>
      <c r="AJ8" s="44">
        <f>'FY27'!AF8</f>
        <v>0</v>
      </c>
      <c r="AK8" s="44">
        <f>'FY28'!AF8</f>
        <v>111</v>
      </c>
      <c r="AL8" s="44">
        <f>'FY29'!AF8</f>
        <v>108</v>
      </c>
      <c r="AM8" s="44">
        <f>'FY29'!AF8</f>
        <v>108</v>
      </c>
      <c r="AN8" s="44">
        <f>'FY31'!AF8</f>
        <v>111</v>
      </c>
      <c r="AW8" s="44">
        <f>'FY26'!AF8</f>
        <v>439</v>
      </c>
      <c r="AX8" s="44">
        <f>'FY27'!AR8</f>
        <v>470</v>
      </c>
      <c r="AY8" s="44">
        <f>'FY28'!AR8</f>
        <v>637</v>
      </c>
      <c r="AZ8" s="44">
        <f>'FY29'!AR8</f>
        <v>660</v>
      </c>
      <c r="BA8" s="44">
        <f>'FY30'!AR8</f>
        <v>663</v>
      </c>
      <c r="BB8" s="44">
        <f>'FY31'!AR8</f>
        <v>609</v>
      </c>
    </row>
    <row r="9" spans="1:54" x14ac:dyDescent="0.25">
      <c r="A9" s="5" t="s">
        <v>8</v>
      </c>
      <c r="B9" s="44">
        <v>110</v>
      </c>
      <c r="C9" s="44">
        <f>'FY27'!B9</f>
        <v>110</v>
      </c>
      <c r="D9" s="44">
        <f>'FY28'!B9</f>
        <v>110</v>
      </c>
      <c r="E9" s="44">
        <f>'FY29'!B9</f>
        <v>110</v>
      </c>
      <c r="F9" s="44">
        <f>'FY30'!B9</f>
        <v>110</v>
      </c>
      <c r="G9" s="44">
        <f>'FY31'!B9</f>
        <v>110</v>
      </c>
      <c r="I9" s="44">
        <f>'FY26'!H9</f>
        <v>110</v>
      </c>
      <c r="J9" s="44">
        <f>'FY27'!H9</f>
        <v>110</v>
      </c>
      <c r="K9" s="44">
        <f>'FY28'!H9</f>
        <v>110</v>
      </c>
      <c r="L9" s="44">
        <f>'FY29'!H9</f>
        <v>110</v>
      </c>
      <c r="M9" s="44">
        <f>'FY30'!H9</f>
        <v>110</v>
      </c>
      <c r="N9" s="44">
        <f>'FY31'!H9</f>
        <v>110</v>
      </c>
      <c r="P9" s="44">
        <f>'FY26'!N9</f>
        <v>140</v>
      </c>
      <c r="Q9" s="44">
        <f>'FY27'!N9</f>
        <v>140</v>
      </c>
      <c r="R9" s="44">
        <f>'FY28'!N9</f>
        <v>140</v>
      </c>
      <c r="S9" s="44">
        <f>'FY29'!N9</f>
        <v>140</v>
      </c>
      <c r="T9" s="44">
        <f>'FY30'!N9</f>
        <v>140</v>
      </c>
      <c r="U9" s="44">
        <f>'FY31'!N9</f>
        <v>140</v>
      </c>
      <c r="W9" s="44">
        <f>'FY26'!T9</f>
        <v>79</v>
      </c>
      <c r="X9" s="44">
        <f>'FY27'!T9</f>
        <v>82</v>
      </c>
      <c r="Y9" s="44">
        <f>'FY28'!T9</f>
        <v>82</v>
      </c>
      <c r="Z9" s="44">
        <f>'FY29'!T9</f>
        <v>82</v>
      </c>
      <c r="AA9" s="44">
        <f>'FY30'!T9</f>
        <v>110</v>
      </c>
      <c r="AB9" s="44">
        <f>'FY31'!T9</f>
        <v>110</v>
      </c>
      <c r="AC9" s="232"/>
      <c r="AD9" s="44">
        <f>'FY27'!Z9</f>
        <v>26</v>
      </c>
      <c r="AE9" s="44">
        <f>'FY28'!Z9</f>
        <v>50</v>
      </c>
      <c r="AF9" s="44">
        <f>'FY29'!Z9</f>
        <v>84</v>
      </c>
      <c r="AG9" s="44">
        <f>'FY30'!Z9</f>
        <v>83</v>
      </c>
      <c r="AH9" s="44">
        <f>'FY31'!Z9</f>
        <v>83</v>
      </c>
      <c r="AJ9" s="44">
        <f>'FY27'!AF9</f>
        <v>0</v>
      </c>
      <c r="AK9" s="44">
        <f>'FY28'!AF9</f>
        <v>81</v>
      </c>
      <c r="AL9" s="44">
        <f>'FY29'!AF9</f>
        <v>108</v>
      </c>
      <c r="AM9" s="44">
        <f>'FY29'!AF9</f>
        <v>108</v>
      </c>
      <c r="AN9" s="44">
        <f>'FY31'!AF9</f>
        <v>111</v>
      </c>
      <c r="AW9" s="44">
        <f>'FY26'!AF9</f>
        <v>439</v>
      </c>
      <c r="AX9" s="44">
        <f>'FY27'!AR9</f>
        <v>468</v>
      </c>
      <c r="AY9" s="44">
        <f>'FY28'!AR9</f>
        <v>573</v>
      </c>
      <c r="AZ9" s="44">
        <f>'FY29'!AR9</f>
        <v>634</v>
      </c>
      <c r="BA9" s="44">
        <f>'FY30'!AR9</f>
        <v>661</v>
      </c>
      <c r="BB9" s="44">
        <f>'FY31'!AR9</f>
        <v>664</v>
      </c>
    </row>
    <row r="10" spans="1:54" x14ac:dyDescent="0.25">
      <c r="A10" s="5" t="s">
        <v>9</v>
      </c>
      <c r="B10" s="44">
        <v>124</v>
      </c>
      <c r="C10" s="44">
        <f>'FY27'!B10</f>
        <v>124</v>
      </c>
      <c r="D10" s="44">
        <f>'FY28'!B10</f>
        <v>124</v>
      </c>
      <c r="E10" s="44">
        <f>'FY29'!B10</f>
        <v>124</v>
      </c>
      <c r="F10" s="44">
        <f>'FY30'!B10</f>
        <v>124</v>
      </c>
      <c r="G10" s="44">
        <f>'FY31'!B10</f>
        <v>124</v>
      </c>
      <c r="I10" s="44">
        <f>'FY26'!H10</f>
        <v>124</v>
      </c>
      <c r="J10" s="44">
        <f>'FY27'!H10</f>
        <v>124</v>
      </c>
      <c r="K10" s="44">
        <f>'FY28'!H10</f>
        <v>124</v>
      </c>
      <c r="L10" s="44">
        <f>'FY29'!H10</f>
        <v>124</v>
      </c>
      <c r="M10" s="44">
        <f>'FY30'!H10</f>
        <v>124</v>
      </c>
      <c r="N10" s="44">
        <f>'FY31'!H10</f>
        <v>124</v>
      </c>
      <c r="P10" s="44">
        <f>'FY26'!N10</f>
        <v>160</v>
      </c>
      <c r="Q10" s="44">
        <f>'FY27'!N10</f>
        <v>160</v>
      </c>
      <c r="R10" s="44">
        <f>'FY28'!N10</f>
        <v>160</v>
      </c>
      <c r="S10" s="44">
        <f>'FY29'!N10</f>
        <v>160</v>
      </c>
      <c r="T10" s="44">
        <f>'FY30'!N10</f>
        <v>160</v>
      </c>
      <c r="U10" s="44">
        <f>'FY31'!N10</f>
        <v>160</v>
      </c>
      <c r="W10" s="44">
        <f>'FY26'!T10</f>
        <v>0</v>
      </c>
      <c r="X10" s="44">
        <f>'FY27'!T10</f>
        <v>0</v>
      </c>
      <c r="Y10" s="44">
        <f>'FY28'!T10</f>
        <v>0</v>
      </c>
      <c r="Z10" s="44">
        <f>'FY29'!T10</f>
        <v>0</v>
      </c>
      <c r="AA10" s="44">
        <f>'FY30'!T10</f>
        <v>0</v>
      </c>
      <c r="AB10" s="44">
        <f>'FY31'!T10</f>
        <v>0</v>
      </c>
      <c r="AC10" s="232"/>
      <c r="AD10" s="44">
        <f>'FY27'!Z10</f>
        <v>62</v>
      </c>
      <c r="AE10" s="44">
        <f>'FY28'!Z10</f>
        <v>93</v>
      </c>
      <c r="AF10" s="44">
        <f>'FY29'!Z10</f>
        <v>155</v>
      </c>
      <c r="AG10" s="44">
        <f>'FY30'!Z10</f>
        <v>155</v>
      </c>
      <c r="AH10" s="44">
        <f>'FY31'!Z10</f>
        <v>155</v>
      </c>
      <c r="AJ10" s="44">
        <f>'FY27'!AF10</f>
        <v>0</v>
      </c>
      <c r="AK10" s="44">
        <f>'FY28'!AF10</f>
        <v>155</v>
      </c>
      <c r="AL10" s="44">
        <f>'FY29'!AF10</f>
        <v>124</v>
      </c>
      <c r="AM10" s="44">
        <f>'FY29'!AF10</f>
        <v>124</v>
      </c>
      <c r="AN10" s="44">
        <f>'FY31'!AF10</f>
        <v>124</v>
      </c>
      <c r="AW10" s="44">
        <f>'FY26'!AF10</f>
        <v>408</v>
      </c>
      <c r="AX10" s="44">
        <f>'FY27'!AR10</f>
        <v>470</v>
      </c>
      <c r="AY10" s="44">
        <f>'FY28'!AR10</f>
        <v>656</v>
      </c>
      <c r="AZ10" s="44">
        <f>'FY29'!AR10</f>
        <v>687</v>
      </c>
      <c r="BA10" s="44">
        <f>'FY30'!AR10</f>
        <v>687</v>
      </c>
      <c r="BB10" s="44">
        <f>'FY31'!AR10</f>
        <v>687</v>
      </c>
    </row>
    <row r="11" spans="1:54" x14ac:dyDescent="0.25">
      <c r="A11" s="5" t="s">
        <v>10</v>
      </c>
      <c r="B11" s="44">
        <v>124</v>
      </c>
      <c r="C11" s="44">
        <f>'FY27'!B11</f>
        <v>124</v>
      </c>
      <c r="D11" s="44">
        <f>'FY28'!B11</f>
        <v>124</v>
      </c>
      <c r="E11" s="44">
        <f>'FY29'!B11</f>
        <v>124</v>
      </c>
      <c r="F11" s="44">
        <f>'FY30'!B11</f>
        <v>124</v>
      </c>
      <c r="G11" s="44">
        <f>'FY31'!B11</f>
        <v>124</v>
      </c>
      <c r="I11" s="44">
        <f>'FY26'!H11</f>
        <v>124</v>
      </c>
      <c r="J11" s="44">
        <f>'FY27'!H11</f>
        <v>124</v>
      </c>
      <c r="K11" s="44">
        <f>'FY28'!H11</f>
        <v>124</v>
      </c>
      <c r="L11" s="44">
        <f>'FY29'!H11</f>
        <v>124</v>
      </c>
      <c r="M11" s="44">
        <f>'FY30'!H11</f>
        <v>124</v>
      </c>
      <c r="N11" s="44">
        <f>'FY31'!H11</f>
        <v>124</v>
      </c>
      <c r="P11" s="44">
        <f>'FY26'!N11</f>
        <v>160</v>
      </c>
      <c r="Q11" s="44">
        <f>'FY27'!N11</f>
        <v>160</v>
      </c>
      <c r="R11" s="44">
        <f>'FY28'!N11</f>
        <v>160</v>
      </c>
      <c r="S11" s="44">
        <f>'FY29'!N11</f>
        <v>160</v>
      </c>
      <c r="T11" s="44">
        <f>'FY30'!N11</f>
        <v>160</v>
      </c>
      <c r="U11" s="44">
        <f>'FY31'!N11</f>
        <v>160</v>
      </c>
      <c r="W11" s="44">
        <f>'FY26'!T11</f>
        <v>0</v>
      </c>
      <c r="X11" s="44">
        <f>'FY27'!T11</f>
        <v>0</v>
      </c>
      <c r="Y11" s="44">
        <f>'FY28'!T11</f>
        <v>0</v>
      </c>
      <c r="Z11" s="44">
        <f>'FY29'!T11</f>
        <v>0</v>
      </c>
      <c r="AA11" s="44">
        <f>'FY30'!T11</f>
        <v>0</v>
      </c>
      <c r="AB11" s="44">
        <f>'FY31'!T11</f>
        <v>0</v>
      </c>
      <c r="AC11" s="232"/>
      <c r="AD11" s="44">
        <f>'FY27'!Z11</f>
        <v>0</v>
      </c>
      <c r="AE11" s="44">
        <f>'FY28'!Z11</f>
        <v>62</v>
      </c>
      <c r="AF11" s="44">
        <f>'FY29'!Z11</f>
        <v>93</v>
      </c>
      <c r="AG11" s="44">
        <f>'FY30'!Z11</f>
        <v>155</v>
      </c>
      <c r="AH11" s="44">
        <f>'FY31'!Z11</f>
        <v>155</v>
      </c>
      <c r="AJ11" s="44">
        <f>'FY27'!AF11</f>
        <v>0</v>
      </c>
      <c r="AK11" s="44">
        <f>'FY28'!AF11</f>
        <v>0</v>
      </c>
      <c r="AL11" s="44">
        <f>'FY29'!AF11</f>
        <v>155</v>
      </c>
      <c r="AM11" s="44">
        <f>'FY29'!AF11</f>
        <v>155</v>
      </c>
      <c r="AN11" s="44">
        <f>'FY31'!AF11</f>
        <v>124</v>
      </c>
      <c r="AW11" s="44">
        <f>'FY26'!AF11</f>
        <v>408</v>
      </c>
      <c r="AX11" s="44">
        <f>'FY27'!AR11</f>
        <v>408</v>
      </c>
      <c r="AY11" s="44">
        <f>'FY28'!AR11</f>
        <v>470</v>
      </c>
      <c r="AZ11" s="44">
        <f>'FY29'!AR11</f>
        <v>656</v>
      </c>
      <c r="BA11" s="44">
        <f>'FY30'!AR11</f>
        <v>687</v>
      </c>
      <c r="BB11" s="44">
        <f>'FY31'!AR11</f>
        <v>687</v>
      </c>
    </row>
    <row r="12" spans="1:54" x14ac:dyDescent="0.25">
      <c r="A12" s="5" t="s">
        <v>11</v>
      </c>
      <c r="B12" s="44">
        <v>122</v>
      </c>
      <c r="C12" s="44">
        <f>'FY27'!B12</f>
        <v>122</v>
      </c>
      <c r="D12" s="44">
        <f>'FY28'!B12</f>
        <v>122</v>
      </c>
      <c r="E12" s="44">
        <f>'FY29'!B12</f>
        <v>122</v>
      </c>
      <c r="F12" s="44">
        <f>'FY30'!B12</f>
        <v>122</v>
      </c>
      <c r="G12" s="44">
        <f>'FY31'!B12</f>
        <v>122</v>
      </c>
      <c r="I12" s="44">
        <f>'FY26'!H12</f>
        <v>122</v>
      </c>
      <c r="J12" s="44">
        <f>'FY27'!H12</f>
        <v>122</v>
      </c>
      <c r="K12" s="44">
        <f>'FY28'!H12</f>
        <v>122</v>
      </c>
      <c r="L12" s="44">
        <f>'FY29'!H12</f>
        <v>122</v>
      </c>
      <c r="M12" s="44">
        <f>'FY30'!H12</f>
        <v>122</v>
      </c>
      <c r="N12" s="44">
        <f>'FY31'!H12</f>
        <v>122</v>
      </c>
      <c r="P12" s="44">
        <f>'FY26'!N12</f>
        <v>160</v>
      </c>
      <c r="Q12" s="44">
        <f>'FY27'!N12</f>
        <v>160</v>
      </c>
      <c r="R12" s="44">
        <f>'FY28'!N12</f>
        <v>160</v>
      </c>
      <c r="S12" s="44">
        <f>'FY29'!N12</f>
        <v>160</v>
      </c>
      <c r="T12" s="44">
        <f>'FY30'!N12</f>
        <v>160</v>
      </c>
      <c r="U12" s="44">
        <f>'FY31'!N12</f>
        <v>160</v>
      </c>
      <c r="W12" s="44">
        <f>'FY26'!T12</f>
        <v>0</v>
      </c>
      <c r="X12" s="44">
        <f>'FY27'!T12</f>
        <v>0</v>
      </c>
      <c r="Y12" s="44">
        <f>'FY28'!T12</f>
        <v>0</v>
      </c>
      <c r="Z12" s="44">
        <f>'FY29'!T12</f>
        <v>0</v>
      </c>
      <c r="AA12" s="44">
        <f>'FY30'!T12</f>
        <v>0</v>
      </c>
      <c r="AB12" s="44">
        <f>'FY31'!T12</f>
        <v>0</v>
      </c>
      <c r="AC12" s="232"/>
      <c r="AD12" s="44">
        <f>'FY27'!Z12</f>
        <v>0</v>
      </c>
      <c r="AE12" s="44">
        <f>'FY28'!Z12</f>
        <v>0</v>
      </c>
      <c r="AF12" s="44">
        <f>'FY29'!Z12</f>
        <v>62</v>
      </c>
      <c r="AG12" s="44">
        <f>'FY30'!Z12</f>
        <v>93</v>
      </c>
      <c r="AH12" s="44">
        <f>'FY31'!Z12</f>
        <v>155</v>
      </c>
      <c r="AJ12" s="44">
        <f>'FY27'!AF12</f>
        <v>0</v>
      </c>
      <c r="AK12" s="44">
        <f>'FY28'!AF12</f>
        <v>0</v>
      </c>
      <c r="AL12" s="44">
        <f>'FY29'!AF12</f>
        <v>0</v>
      </c>
      <c r="AM12" s="44">
        <f>'FY29'!AF12</f>
        <v>0</v>
      </c>
      <c r="AN12" s="44">
        <f>'FY31'!AF12</f>
        <v>124</v>
      </c>
      <c r="AW12" s="44">
        <f>'FY26'!AF12</f>
        <v>404</v>
      </c>
      <c r="AX12" s="44">
        <f>'FY27'!AR12</f>
        <v>404</v>
      </c>
      <c r="AY12" s="44">
        <f>'FY28'!AR12</f>
        <v>404</v>
      </c>
      <c r="AZ12" s="44">
        <f>'FY29'!AR12</f>
        <v>466</v>
      </c>
      <c r="BA12" s="44">
        <f>'FY30'!AR12</f>
        <v>652</v>
      </c>
      <c r="BB12" s="44">
        <f>'FY31'!AR12</f>
        <v>683</v>
      </c>
    </row>
    <row r="13" spans="1:54" x14ac:dyDescent="0.25">
      <c r="A13" s="5" t="s">
        <v>12</v>
      </c>
      <c r="B13" s="45">
        <v>0</v>
      </c>
      <c r="C13" s="45">
        <f>'FY27'!B13</f>
        <v>0</v>
      </c>
      <c r="D13" s="45">
        <f>'FY28'!B13</f>
        <v>0</v>
      </c>
      <c r="E13" s="45">
        <f>'FY29'!B13</f>
        <v>0</v>
      </c>
      <c r="F13" s="45">
        <f>'FY30'!B13</f>
        <v>0</v>
      </c>
      <c r="G13" s="45">
        <f>'FY31'!B13</f>
        <v>0</v>
      </c>
      <c r="I13" s="45">
        <f>'FY26'!H13</f>
        <v>0</v>
      </c>
      <c r="J13" s="45">
        <f>'FY27'!H13</f>
        <v>0</v>
      </c>
      <c r="K13" s="45">
        <f>'FY28'!H13</f>
        <v>0</v>
      </c>
      <c r="L13" s="45">
        <f>'FY29'!H13</f>
        <v>0</v>
      </c>
      <c r="M13" s="45">
        <f>'FY30'!H13</f>
        <v>0</v>
      </c>
      <c r="N13" s="45">
        <f>'FY31'!H13</f>
        <v>0</v>
      </c>
      <c r="P13" s="45">
        <f>'FY26'!N13</f>
        <v>320</v>
      </c>
      <c r="Q13" s="45">
        <f>'FY27'!N13</f>
        <v>320</v>
      </c>
      <c r="R13" s="45">
        <f>'FY28'!N13</f>
        <v>355</v>
      </c>
      <c r="S13" s="45">
        <f>'FY29'!N13</f>
        <v>355</v>
      </c>
      <c r="T13" s="45">
        <f>'FY30'!N13</f>
        <v>355</v>
      </c>
      <c r="U13" s="45">
        <f>'FY31'!N13</f>
        <v>355</v>
      </c>
      <c r="W13" s="45">
        <f>'FY26'!T13</f>
        <v>0</v>
      </c>
      <c r="X13" s="45">
        <f>'FY27'!T13</f>
        <v>0</v>
      </c>
      <c r="Y13" s="45">
        <f>'FY28'!T13</f>
        <v>0</v>
      </c>
      <c r="Z13" s="45">
        <f>'FY29'!T13</f>
        <v>0</v>
      </c>
      <c r="AA13" s="45">
        <f>'FY30'!T13</f>
        <v>0</v>
      </c>
      <c r="AB13" s="45">
        <f>'FY31'!T13</f>
        <v>0</v>
      </c>
      <c r="AC13" s="196"/>
      <c r="AD13" s="45">
        <f>'FY27'!Z13</f>
        <v>0</v>
      </c>
      <c r="AE13" s="45">
        <f>'FY28'!Z13</f>
        <v>0</v>
      </c>
      <c r="AF13" s="45">
        <f>'FY29'!Z13</f>
        <v>93</v>
      </c>
      <c r="AG13" s="45">
        <f>'FY30'!Z13</f>
        <v>155</v>
      </c>
      <c r="AH13" s="45">
        <f>'FY31'!Z13</f>
        <v>155</v>
      </c>
      <c r="AJ13" s="45">
        <f>'FY27'!AF13</f>
        <v>0</v>
      </c>
      <c r="AK13" s="45">
        <f>'FY28'!AF13</f>
        <v>0</v>
      </c>
      <c r="AL13" s="45">
        <f>'FY29'!AF13</f>
        <v>0</v>
      </c>
      <c r="AM13" s="45">
        <f>'FY29'!AF13</f>
        <v>0</v>
      </c>
      <c r="AN13" s="45">
        <f>'FY31'!AF13</f>
        <v>0</v>
      </c>
      <c r="AW13" s="45">
        <f>'FY26'!AF13</f>
        <v>320</v>
      </c>
      <c r="AX13" s="45">
        <f>'FY27'!AR13</f>
        <v>320</v>
      </c>
      <c r="AY13" s="45">
        <f>'FY28'!AR13</f>
        <v>355</v>
      </c>
      <c r="AZ13" s="45">
        <f>'FY29'!AR13</f>
        <v>448</v>
      </c>
      <c r="BA13" s="45">
        <f>'FY30'!AR13</f>
        <v>510</v>
      </c>
      <c r="BB13" s="45">
        <f>'FY31'!AR13</f>
        <v>510</v>
      </c>
    </row>
    <row r="14" spans="1:54" x14ac:dyDescent="0.25">
      <c r="A14" s="5" t="s">
        <v>13</v>
      </c>
      <c r="B14" s="45">
        <v>0</v>
      </c>
      <c r="C14" s="45">
        <f>'FY27'!B14</f>
        <v>0</v>
      </c>
      <c r="D14" s="45">
        <f>'FY28'!B14</f>
        <v>0</v>
      </c>
      <c r="E14" s="45">
        <f>'FY29'!B14</f>
        <v>0</v>
      </c>
      <c r="F14" s="45">
        <f>'FY30'!B14</f>
        <v>0</v>
      </c>
      <c r="G14" s="45">
        <f>'FY31'!B14</f>
        <v>0</v>
      </c>
      <c r="I14" s="45">
        <f>'FY26'!H14</f>
        <v>0</v>
      </c>
      <c r="J14" s="45">
        <f>'FY27'!H14</f>
        <v>0</v>
      </c>
      <c r="K14" s="45">
        <f>'FY28'!H14</f>
        <v>0</v>
      </c>
      <c r="L14" s="45">
        <f>'FY29'!H14</f>
        <v>0</v>
      </c>
      <c r="M14" s="45">
        <f>'FY30'!H14</f>
        <v>0</v>
      </c>
      <c r="N14" s="45">
        <f>'FY31'!H14</f>
        <v>0</v>
      </c>
      <c r="P14" s="45">
        <f>'FY26'!N14</f>
        <v>295</v>
      </c>
      <c r="Q14" s="45">
        <f>'FY27'!N14</f>
        <v>315</v>
      </c>
      <c r="R14" s="45">
        <f>'FY28'!N14</f>
        <v>320</v>
      </c>
      <c r="S14" s="45">
        <f>'FY29'!N14</f>
        <v>345</v>
      </c>
      <c r="T14" s="45">
        <f>'FY30'!N14</f>
        <v>345</v>
      </c>
      <c r="U14" s="45">
        <f>'FY31'!N14</f>
        <v>345</v>
      </c>
      <c r="W14" s="45">
        <f>'FY26'!T14</f>
        <v>0</v>
      </c>
      <c r="X14" s="45">
        <f>'FY27'!T14</f>
        <v>0</v>
      </c>
      <c r="Y14" s="45">
        <f>'FY28'!T14</f>
        <v>0</v>
      </c>
      <c r="Z14" s="45">
        <f>'FY29'!T14</f>
        <v>0</v>
      </c>
      <c r="AA14" s="45">
        <f>'FY30'!T14</f>
        <v>0</v>
      </c>
      <c r="AB14" s="45">
        <f>'FY31'!T14</f>
        <v>0</v>
      </c>
      <c r="AC14" s="196"/>
      <c r="AD14" s="45">
        <f>'FY27'!Z14</f>
        <v>0</v>
      </c>
      <c r="AE14" s="45">
        <f>'FY28'!Z14</f>
        <v>0</v>
      </c>
      <c r="AF14" s="45">
        <f>'FY29'!Z14</f>
        <v>0</v>
      </c>
      <c r="AG14" s="45">
        <f>'FY30'!Z14</f>
        <v>93</v>
      </c>
      <c r="AH14" s="45">
        <f>'FY31'!Z14</f>
        <v>155</v>
      </c>
      <c r="AJ14" s="45">
        <f>'FY27'!AF14</f>
        <v>0</v>
      </c>
      <c r="AK14" s="45">
        <f>'FY28'!AF14</f>
        <v>0</v>
      </c>
      <c r="AL14" s="45">
        <f>'FY29'!AF14</f>
        <v>0</v>
      </c>
      <c r="AM14" s="45">
        <f>'FY29'!AF14</f>
        <v>0</v>
      </c>
      <c r="AN14" s="45">
        <f>'FY31'!AF14</f>
        <v>0</v>
      </c>
      <c r="AW14" s="45">
        <f>'FY26'!AF14</f>
        <v>295</v>
      </c>
      <c r="AX14" s="45">
        <f>'FY27'!AR14</f>
        <v>315</v>
      </c>
      <c r="AY14" s="45">
        <f>'FY28'!AR14</f>
        <v>320</v>
      </c>
      <c r="AZ14" s="45">
        <f>'FY29'!AR14</f>
        <v>345</v>
      </c>
      <c r="BA14" s="45">
        <f>'FY30'!AR14</f>
        <v>438</v>
      </c>
      <c r="BB14" s="45">
        <f>'FY31'!AR14</f>
        <v>500</v>
      </c>
    </row>
    <row r="15" spans="1:54" x14ac:dyDescent="0.25">
      <c r="A15" s="5" t="s">
        <v>14</v>
      </c>
      <c r="B15" s="45">
        <v>0</v>
      </c>
      <c r="C15" s="45">
        <f>'FY27'!B15</f>
        <v>0</v>
      </c>
      <c r="D15" s="45">
        <f>'FY28'!B15</f>
        <v>0</v>
      </c>
      <c r="E15" s="45">
        <f>'FY29'!B15</f>
        <v>0</v>
      </c>
      <c r="F15" s="45">
        <f>'FY30'!B15</f>
        <v>0</v>
      </c>
      <c r="G15" s="45">
        <f>'FY31'!B15</f>
        <v>0</v>
      </c>
      <c r="I15" s="45">
        <f>'FY26'!H15</f>
        <v>0</v>
      </c>
      <c r="J15" s="45">
        <f>'FY27'!H15</f>
        <v>0</v>
      </c>
      <c r="K15" s="45">
        <f>'FY28'!H15</f>
        <v>0</v>
      </c>
      <c r="L15" s="45">
        <f>'FY29'!H15</f>
        <v>0</v>
      </c>
      <c r="M15" s="45">
        <f>'FY30'!H15</f>
        <v>0</v>
      </c>
      <c r="N15" s="45">
        <f>'FY31'!H15</f>
        <v>0</v>
      </c>
      <c r="P15" s="45">
        <f>'FY26'!N15</f>
        <v>278</v>
      </c>
      <c r="Q15" s="45">
        <f>'FY27'!N15</f>
        <v>285</v>
      </c>
      <c r="R15" s="45">
        <f>'FY28'!N15</f>
        <v>285</v>
      </c>
      <c r="S15" s="45">
        <f>'FY29'!N15</f>
        <v>310</v>
      </c>
      <c r="T15" s="45">
        <f>'FY30'!N15</f>
        <v>333</v>
      </c>
      <c r="U15" s="45">
        <f>'FY31'!N15</f>
        <v>333</v>
      </c>
      <c r="W15" s="45">
        <f>'FY26'!T15</f>
        <v>0</v>
      </c>
      <c r="X15" s="45">
        <f>'FY27'!T15</f>
        <v>0</v>
      </c>
      <c r="Y15" s="45">
        <f>'FY28'!T15</f>
        <v>0</v>
      </c>
      <c r="Z15" s="45">
        <f>'FY29'!T15</f>
        <v>0</v>
      </c>
      <c r="AA15" s="45">
        <f>'FY30'!T15</f>
        <v>0</v>
      </c>
      <c r="AB15" s="45">
        <f>'FY31'!T15</f>
        <v>0</v>
      </c>
      <c r="AC15" s="196"/>
      <c r="AD15" s="45">
        <f>'FY27'!Z15</f>
        <v>0</v>
      </c>
      <c r="AE15" s="45">
        <f>'FY28'!Z15</f>
        <v>0</v>
      </c>
      <c r="AF15" s="45">
        <f>'FY29'!Z15</f>
        <v>0</v>
      </c>
      <c r="AG15" s="45">
        <f>'FY30'!Z15</f>
        <v>0</v>
      </c>
      <c r="AH15" s="45">
        <f>'FY31'!Z15</f>
        <v>93</v>
      </c>
      <c r="AJ15" s="45">
        <f>'FY27'!AF15</f>
        <v>0</v>
      </c>
      <c r="AK15" s="45">
        <f>'FY28'!AF15</f>
        <v>0</v>
      </c>
      <c r="AL15" s="45">
        <f>'FY29'!AF15</f>
        <v>0</v>
      </c>
      <c r="AM15" s="45">
        <f>'FY29'!AF15</f>
        <v>0</v>
      </c>
      <c r="AN15" s="45">
        <f>'FY31'!AF15</f>
        <v>0</v>
      </c>
      <c r="AW15" s="45">
        <f>'FY26'!AF15</f>
        <v>278</v>
      </c>
      <c r="AX15" s="45">
        <f>'FY27'!AR15</f>
        <v>285</v>
      </c>
      <c r="AY15" s="45">
        <f>'FY28'!AR15</f>
        <v>285</v>
      </c>
      <c r="AZ15" s="45">
        <f>'FY29'!AR15</f>
        <v>310</v>
      </c>
      <c r="BA15" s="45">
        <f>'FY30'!AR15</f>
        <v>333</v>
      </c>
      <c r="BB15" s="45">
        <f>'FY31'!AR15</f>
        <v>426</v>
      </c>
    </row>
    <row r="16" spans="1:54" x14ac:dyDescent="0.25">
      <c r="A16" s="5" t="s">
        <v>15</v>
      </c>
      <c r="B16" s="45">
        <v>0</v>
      </c>
      <c r="C16" s="45">
        <f>'FY27'!B16</f>
        <v>0</v>
      </c>
      <c r="D16" s="45">
        <f>'FY28'!B16</f>
        <v>0</v>
      </c>
      <c r="E16" s="45">
        <f>'FY29'!B16</f>
        <v>0</v>
      </c>
      <c r="F16" s="45">
        <f>'FY30'!B16</f>
        <v>0</v>
      </c>
      <c r="G16" s="45">
        <f>'FY31'!B16</f>
        <v>0</v>
      </c>
      <c r="I16" s="45">
        <f>'FY26'!H16</f>
        <v>0</v>
      </c>
      <c r="J16" s="45">
        <f>'FY27'!H16</f>
        <v>0</v>
      </c>
      <c r="K16" s="45">
        <f>'FY28'!H16</f>
        <v>0</v>
      </c>
      <c r="L16" s="45">
        <f>'FY29'!H16</f>
        <v>0</v>
      </c>
      <c r="M16" s="45">
        <f>'FY30'!H16</f>
        <v>0</v>
      </c>
      <c r="N16" s="45">
        <f>'FY31'!H16</f>
        <v>0</v>
      </c>
      <c r="P16" s="45">
        <f>'FY26'!N16</f>
        <v>250</v>
      </c>
      <c r="Q16" s="45">
        <f>'FY27'!N16</f>
        <v>265</v>
      </c>
      <c r="R16" s="45">
        <f>'FY28'!N16</f>
        <v>275</v>
      </c>
      <c r="S16" s="45">
        <f>'FY29'!N16</f>
        <v>275</v>
      </c>
      <c r="T16" s="45">
        <f>'FY30'!N16</f>
        <v>290</v>
      </c>
      <c r="U16" s="45">
        <f>'FY31'!N16</f>
        <v>310</v>
      </c>
      <c r="W16" s="45">
        <f>'FY26'!T16</f>
        <v>0</v>
      </c>
      <c r="X16" s="45">
        <f>'FY27'!T16</f>
        <v>0</v>
      </c>
      <c r="Y16" s="45">
        <f>'FY28'!T16</f>
        <v>0</v>
      </c>
      <c r="Z16" s="45">
        <f>'FY29'!T16</f>
        <v>0</v>
      </c>
      <c r="AA16" s="45">
        <f>'FY30'!T16</f>
        <v>0</v>
      </c>
      <c r="AB16" s="45">
        <f>'FY31'!T16</f>
        <v>0</v>
      </c>
      <c r="AC16" s="196"/>
      <c r="AD16" s="45">
        <f>'FY27'!Z16</f>
        <v>0</v>
      </c>
      <c r="AE16" s="45">
        <f>'FY28'!Z16</f>
        <v>0</v>
      </c>
      <c r="AF16" s="45">
        <f>'FY29'!Z16</f>
        <v>0</v>
      </c>
      <c r="AG16" s="45">
        <f>'FY30'!Z16</f>
        <v>0</v>
      </c>
      <c r="AH16" s="45">
        <f>'FY31'!Z16</f>
        <v>0</v>
      </c>
      <c r="AJ16" s="45">
        <f>'FY27'!AF16</f>
        <v>0</v>
      </c>
      <c r="AK16" s="45">
        <f>'FY28'!AF16</f>
        <v>0</v>
      </c>
      <c r="AL16" s="45">
        <f>'FY29'!AF16</f>
        <v>0</v>
      </c>
      <c r="AM16" s="45">
        <f>'FY29'!AF16</f>
        <v>0</v>
      </c>
      <c r="AN16" s="45">
        <f>'FY31'!AF16</f>
        <v>0</v>
      </c>
      <c r="AW16" s="45">
        <f>'FY26'!AF16</f>
        <v>250</v>
      </c>
      <c r="AX16" s="45">
        <f>'FY27'!AR16</f>
        <v>265</v>
      </c>
      <c r="AY16" s="45">
        <f>'FY28'!AR16</f>
        <v>275</v>
      </c>
      <c r="AZ16" s="45">
        <f>'FY29'!AR16</f>
        <v>275</v>
      </c>
      <c r="BA16" s="45">
        <f>'FY30'!AR16</f>
        <v>290</v>
      </c>
      <c r="BB16" s="45">
        <f>'FY31'!AR16</f>
        <v>310</v>
      </c>
    </row>
    <row r="17" spans="1:54" x14ac:dyDescent="0.25">
      <c r="A17" s="6" t="s">
        <v>2</v>
      </c>
      <c r="B17" s="43">
        <f>SUM(B4:B16)</f>
        <v>1028</v>
      </c>
      <c r="C17" s="43">
        <f>'FY27'!B17</f>
        <v>1028</v>
      </c>
      <c r="D17" s="43">
        <f>'FY28'!B17</f>
        <v>1028</v>
      </c>
      <c r="E17" s="43">
        <f>'FY29'!B17</f>
        <v>1028</v>
      </c>
      <c r="F17" s="43">
        <f>'FY30'!B17</f>
        <v>1028</v>
      </c>
      <c r="G17" s="43">
        <f>'FY31'!B17</f>
        <v>1028</v>
      </c>
      <c r="I17" s="43">
        <f>'FY26'!H17</f>
        <v>1028</v>
      </c>
      <c r="J17" s="43">
        <f>'FY27'!H17</f>
        <v>1028</v>
      </c>
      <c r="K17" s="43">
        <f>'FY28'!H17</f>
        <v>1028</v>
      </c>
      <c r="L17" s="43">
        <f>'FY29'!H17</f>
        <v>1028</v>
      </c>
      <c r="M17" s="43">
        <f>'FY30'!H17</f>
        <v>1028</v>
      </c>
      <c r="N17" s="43">
        <f>'FY31'!H17</f>
        <v>1028</v>
      </c>
      <c r="P17" s="43">
        <f>'FY26'!N17</f>
        <v>2443</v>
      </c>
      <c r="Q17" s="43">
        <f>'FY27'!N17</f>
        <v>2459</v>
      </c>
      <c r="R17" s="43">
        <f>'FY28'!N17</f>
        <v>2478</v>
      </c>
      <c r="S17" s="43">
        <f>'FY29'!N17</f>
        <v>2511</v>
      </c>
      <c r="T17" s="43">
        <f>'FY30'!N17</f>
        <v>2520</v>
      </c>
      <c r="U17" s="43">
        <f>'FY31'!N17</f>
        <v>2511</v>
      </c>
      <c r="W17" s="43">
        <f>'FY26'!T17</f>
        <v>474</v>
      </c>
      <c r="X17" s="43">
        <f>'FY27'!T17</f>
        <v>533</v>
      </c>
      <c r="Y17" s="43">
        <f>'FY28'!T17</f>
        <v>535</v>
      </c>
      <c r="Z17" s="43">
        <f>'FY29'!T17</f>
        <v>537</v>
      </c>
      <c r="AA17" s="43">
        <f>'FY30'!T17</f>
        <v>539</v>
      </c>
      <c r="AB17" s="43">
        <f>'FY31'!T17</f>
        <v>540</v>
      </c>
      <c r="AC17" s="231"/>
      <c r="AD17" s="43">
        <f>'FY27'!Z17</f>
        <v>429</v>
      </c>
      <c r="AE17" s="43">
        <f>'FY28'!Z17</f>
        <v>614</v>
      </c>
      <c r="AF17" s="43">
        <f>'FY29'!Z17</f>
        <v>883</v>
      </c>
      <c r="AG17" s="43">
        <f>'FY30'!Z17</f>
        <v>1144</v>
      </c>
      <c r="AH17" s="43">
        <f>'FY31'!Z17</f>
        <v>1361</v>
      </c>
      <c r="AJ17" s="43">
        <f>'FY27'!AF17</f>
        <v>0</v>
      </c>
      <c r="AK17" s="43">
        <f>'FY28'!AF17</f>
        <v>780</v>
      </c>
      <c r="AL17" s="43">
        <f>'FY29'!AF17</f>
        <v>929</v>
      </c>
      <c r="AM17" s="43">
        <f>'FY29'!AF17</f>
        <v>929</v>
      </c>
      <c r="AN17" s="43">
        <f>'FY31'!AF17</f>
        <v>1027</v>
      </c>
      <c r="AW17" s="43">
        <f>'FY26'!AF17</f>
        <v>4973</v>
      </c>
      <c r="AX17" s="43">
        <f>'FY27'!AR17</f>
        <v>5477</v>
      </c>
      <c r="AY17" s="43">
        <f>'FY28'!AR17</f>
        <v>6463</v>
      </c>
      <c r="AZ17" s="43">
        <f>'FY29'!AR17</f>
        <v>6916</v>
      </c>
      <c r="BA17" s="43">
        <f>'FY30'!AR17</f>
        <v>7302</v>
      </c>
      <c r="BB17" s="43">
        <f>'FY31'!AR17</f>
        <v>7495</v>
      </c>
    </row>
    <row r="20" spans="1:54" x14ac:dyDescent="0.25">
      <c r="A20" s="8" t="s">
        <v>16</v>
      </c>
      <c r="B20" s="46" t="str">
        <f>'FY26'!F20</f>
        <v>FY26- Mtn</v>
      </c>
      <c r="C20" s="46" t="str">
        <f>'FY27'!F20</f>
        <v>FY27- Mtn</v>
      </c>
      <c r="D20" s="46" t="str">
        <f>'FY28'!F20</f>
        <v>FY28- Mtn</v>
      </c>
      <c r="E20" s="46" t="str">
        <f>'FY29'!F20</f>
        <v>FY29- Mtn</v>
      </c>
      <c r="F20" s="46" t="str">
        <f>'FY30'!F20</f>
        <v>FY30- Mtn</v>
      </c>
      <c r="G20" s="46" t="str">
        <f>'FY31'!F20</f>
        <v>FY31- Mtn</v>
      </c>
      <c r="I20" s="46" t="str">
        <f>'FY26'!L20</f>
        <v>FY26- Bon</v>
      </c>
      <c r="J20" s="46" t="str">
        <f>'FY27'!L20</f>
        <v>FY27- Bon</v>
      </c>
      <c r="K20" s="46" t="str">
        <f>'FY28'!L20</f>
        <v>FY28- Bon</v>
      </c>
      <c r="L20" s="46" t="str">
        <f>'FY29'!L20</f>
        <v>FY29- Bon</v>
      </c>
      <c r="M20" s="46" t="str">
        <f>'FY30'!L20</f>
        <v>FY30- Bon</v>
      </c>
      <c r="N20" s="46" t="str">
        <f>'FY31'!L20</f>
        <v>FY31- Bon</v>
      </c>
      <c r="P20" s="46" t="str">
        <f>'FY26'!R20</f>
        <v>FY26- East</v>
      </c>
      <c r="Q20" s="46" t="str">
        <f>'FY27'!R20</f>
        <v>FY27- East</v>
      </c>
      <c r="R20" s="46" t="str">
        <f>'FY28'!R20</f>
        <v>FY28- East</v>
      </c>
      <c r="S20" s="46" t="str">
        <f>'FY29'!R20</f>
        <v>FY29- East</v>
      </c>
      <c r="T20" s="46" t="str">
        <f>'FY30'!R20</f>
        <v>FY30- East</v>
      </c>
      <c r="U20" s="46" t="str">
        <f>'FY31'!R20</f>
        <v>FY31- East</v>
      </c>
      <c r="W20" s="46" t="str">
        <f>'FY26'!X20</f>
        <v>FY26- Cactus</v>
      </c>
      <c r="X20" s="46" t="str">
        <f>'FY27'!X20</f>
        <v>FY27- Cactus</v>
      </c>
      <c r="Y20" s="46" t="str">
        <f>'FY28'!X20</f>
        <v>FY28- Cactus</v>
      </c>
      <c r="Z20" s="46" t="str">
        <f>'FY29'!X20</f>
        <v>FY29- Cactus</v>
      </c>
      <c r="AA20" s="46" t="str">
        <f>'FY30'!X20</f>
        <v>FY30- Cactus</v>
      </c>
      <c r="AB20" s="46" t="str">
        <f>'FY31'!X20</f>
        <v>FY31- Cactus</v>
      </c>
      <c r="AC20" s="195"/>
      <c r="AD20" s="46" t="str">
        <f>'FY27'!AD20</f>
        <v>FY27- Sahara</v>
      </c>
      <c r="AE20" s="46" t="str">
        <f>'FY28'!AD20</f>
        <v>FY28- Sahara</v>
      </c>
      <c r="AF20" s="46" t="str">
        <f>'FY29'!AD20</f>
        <v>FY29- Sahara</v>
      </c>
      <c r="AG20" s="46" t="str">
        <f>'FY30'!AD20</f>
        <v>FY30- Sahara</v>
      </c>
      <c r="AH20" s="46" t="str">
        <f>'FY31'!AD20</f>
        <v>FY31- Sahara</v>
      </c>
      <c r="AI20" s="195"/>
      <c r="AJ20" s="46" t="str">
        <f>'FY27'!AJ20</f>
        <v>FY27- VV</v>
      </c>
      <c r="AK20" s="46" t="str">
        <f>'FY28'!AJ20</f>
        <v>FY27- VV</v>
      </c>
      <c r="AL20" s="46" t="str">
        <f>'FY29'!AJ20</f>
        <v>FY29- VV</v>
      </c>
      <c r="AM20" s="46" t="str">
        <f>'FY30'!AJ20</f>
        <v>FY30- VV</v>
      </c>
      <c r="AN20" s="46" t="str">
        <f>'FY31'!AJ20</f>
        <v>FY31- VV</v>
      </c>
      <c r="AP20" s="46" t="str">
        <f>'FY26'!AD20</f>
        <v>FY26 - Central</v>
      </c>
      <c r="AQ20" s="46" t="str">
        <f>'FY27'!AP20</f>
        <v>FY27 - Central</v>
      </c>
      <c r="AR20" s="46" t="str">
        <f>'FY28'!AP20</f>
        <v>FY28 - Central</v>
      </c>
      <c r="AS20" s="46" t="str">
        <f>'FY29'!AP20</f>
        <v>FY29 - Central</v>
      </c>
      <c r="AT20" s="46" t="str">
        <f>'FY30'!AP20</f>
        <v>FY30 - Central</v>
      </c>
      <c r="AU20" s="46" t="str">
        <f>'FY31'!AP20</f>
        <v>FY31 - Central</v>
      </c>
      <c r="AW20" s="46" t="str">
        <f>'FY26'!AJ20</f>
        <v>FY26- Sys</v>
      </c>
      <c r="AX20" s="46" t="str">
        <f>'FY27'!AV20</f>
        <v>FY27- Sys</v>
      </c>
      <c r="AY20" s="46" t="str">
        <f>'FY28'!AV20</f>
        <v>FY28- Sys</v>
      </c>
      <c r="AZ20" s="46" t="str">
        <f>'FY29'!AV20</f>
        <v>FY29- Sys</v>
      </c>
      <c r="BA20" s="46" t="str">
        <f>'FY30'!AV20</f>
        <v>FY29- Sys</v>
      </c>
      <c r="BB20" s="46" t="str">
        <f>'FY31'!AV20</f>
        <v>FY31- Sys</v>
      </c>
    </row>
    <row r="21" spans="1:54" x14ac:dyDescent="0.25">
      <c r="A21" s="5" t="s">
        <v>17</v>
      </c>
      <c r="B21" s="45">
        <f>'FY26'!F21</f>
        <v>105</v>
      </c>
      <c r="C21" s="45">
        <f>'FY27'!F21</f>
        <v>105</v>
      </c>
      <c r="D21" s="45">
        <f>'FY28'!F21</f>
        <v>105</v>
      </c>
      <c r="E21" s="45">
        <f>'FY29'!F21</f>
        <v>105</v>
      </c>
      <c r="F21" s="45">
        <f>'FY30'!F21</f>
        <v>105</v>
      </c>
      <c r="G21" s="45">
        <f>'FY31'!F21</f>
        <v>105</v>
      </c>
      <c r="I21" s="45">
        <f>'FY26'!L21</f>
        <v>105</v>
      </c>
      <c r="J21" s="45">
        <f>'FY27'!L21</f>
        <v>105</v>
      </c>
      <c r="K21" s="45">
        <f>'FY28'!L21</f>
        <v>105</v>
      </c>
      <c r="L21" s="45">
        <f>'FY29'!L21</f>
        <v>105</v>
      </c>
      <c r="M21" s="45">
        <f>'FY30'!L21</f>
        <v>105</v>
      </c>
      <c r="N21" s="45">
        <f>'FY31'!L21</f>
        <v>105</v>
      </c>
      <c r="P21" s="45">
        <f>'FY26'!R21</f>
        <v>240</v>
      </c>
      <c r="Q21" s="45">
        <f>'FY27'!R21</f>
        <v>264</v>
      </c>
      <c r="R21" s="45">
        <f>'FY28'!R21</f>
        <v>264</v>
      </c>
      <c r="S21" s="45">
        <f>'FY29'!R21</f>
        <v>270</v>
      </c>
      <c r="T21" s="45">
        <f>'FY30'!R21</f>
        <v>270</v>
      </c>
      <c r="U21" s="45">
        <f>'FY31'!R21</f>
        <v>270</v>
      </c>
      <c r="W21" s="45">
        <f>'FY26'!X21</f>
        <v>50</v>
      </c>
      <c r="X21" s="45">
        <f>'FY27'!X21</f>
        <v>55</v>
      </c>
      <c r="Y21" s="45">
        <f>'FY28'!X21</f>
        <v>60</v>
      </c>
      <c r="Z21" s="45">
        <f>'FY29'!X21</f>
        <v>60</v>
      </c>
      <c r="AA21" s="45">
        <f>'FY30'!X21</f>
        <v>60</v>
      </c>
      <c r="AB21" s="45">
        <f>'FY31'!X21</f>
        <v>60</v>
      </c>
      <c r="AC21" s="196"/>
      <c r="AD21" s="45">
        <f>'FY27'!AD21</f>
        <v>50</v>
      </c>
      <c r="AE21" s="45">
        <f>'FY28'!AD21</f>
        <v>50</v>
      </c>
      <c r="AF21" s="45">
        <f>'FY29'!AD21</f>
        <v>72</v>
      </c>
      <c r="AG21" s="45">
        <f>'FY30'!AD21</f>
        <v>103</v>
      </c>
      <c r="AH21" s="45">
        <f>'FY31'!AD21</f>
        <v>130</v>
      </c>
      <c r="AI21" s="196"/>
      <c r="AJ21" s="45">
        <f>'FY27'!AJ21</f>
        <v>0</v>
      </c>
      <c r="AK21" s="45">
        <f>'FY28'!AJ21</f>
        <v>95</v>
      </c>
      <c r="AL21" s="45">
        <f>'FY29'!AJ21</f>
        <v>95</v>
      </c>
      <c r="AM21" s="45">
        <f>'FY30'!AJ21</f>
        <v>113</v>
      </c>
      <c r="AN21" s="45">
        <f>'FY31'!AJ21</f>
        <v>125</v>
      </c>
      <c r="AP21" s="45">
        <f>'FY26'!AD21</f>
        <v>0</v>
      </c>
      <c r="AQ21" s="45">
        <f>'FY27'!AP21</f>
        <v>0</v>
      </c>
      <c r="AR21" s="45">
        <f>'FY28'!AP21</f>
        <v>0</v>
      </c>
      <c r="AS21" s="45">
        <f>'FY29'!AP21</f>
        <v>0</v>
      </c>
      <c r="AT21" s="45">
        <f>'FY30'!AP21</f>
        <v>0</v>
      </c>
      <c r="AU21" s="45">
        <f>'FY31'!AP21</f>
        <v>0</v>
      </c>
      <c r="AW21" s="45">
        <f>'FY26'!AJ21</f>
        <v>500</v>
      </c>
      <c r="AX21" s="45">
        <f>'FY27'!AV21</f>
        <v>579</v>
      </c>
      <c r="AY21" s="45">
        <f>'FY28'!AV21</f>
        <v>679</v>
      </c>
      <c r="AZ21" s="45">
        <f>'FY29'!AV21</f>
        <v>707</v>
      </c>
      <c r="BA21" s="45">
        <f>'FY30'!AV21</f>
        <v>756</v>
      </c>
      <c r="BB21" s="45">
        <f>'FY31'!AV21</f>
        <v>795</v>
      </c>
    </row>
    <row r="22" spans="1:54" x14ac:dyDescent="0.25">
      <c r="A22" s="5" t="s">
        <v>18</v>
      </c>
      <c r="B22" s="45">
        <f>'FY26'!F22</f>
        <v>360</v>
      </c>
      <c r="C22" s="45">
        <f>'FY27'!F22</f>
        <v>360</v>
      </c>
      <c r="D22" s="45">
        <f>'FY28'!F22</f>
        <v>360</v>
      </c>
      <c r="E22" s="45">
        <f>'FY29'!F22</f>
        <v>360</v>
      </c>
      <c r="F22" s="45">
        <f>'FY30'!F22</f>
        <v>360</v>
      </c>
      <c r="G22" s="45">
        <f>'FY31'!F22</f>
        <v>360</v>
      </c>
      <c r="I22" s="45">
        <f>'FY26'!L22</f>
        <v>360</v>
      </c>
      <c r="J22" s="45">
        <f>'FY27'!L22</f>
        <v>360</v>
      </c>
      <c r="K22" s="45">
        <f>'FY28'!L22</f>
        <v>360</v>
      </c>
      <c r="L22" s="45">
        <f>'FY29'!L22</f>
        <v>360</v>
      </c>
      <c r="M22" s="45">
        <f>'FY30'!L22</f>
        <v>360</v>
      </c>
      <c r="N22" s="45">
        <f>'FY31'!L22</f>
        <v>360</v>
      </c>
      <c r="P22" s="45">
        <f>'FY26'!R22</f>
        <v>739</v>
      </c>
      <c r="Q22" s="45">
        <f>'FY27'!R22</f>
        <v>730</v>
      </c>
      <c r="R22" s="45">
        <f>'FY28'!R22</f>
        <v>730</v>
      </c>
      <c r="S22" s="45">
        <f>'FY29'!R22</f>
        <v>740</v>
      </c>
      <c r="T22" s="45">
        <f>'FY30'!R22</f>
        <v>740</v>
      </c>
      <c r="U22" s="45">
        <f>'FY31'!R22</f>
        <v>740</v>
      </c>
      <c r="W22" s="45">
        <f>'FY26'!X22</f>
        <v>64</v>
      </c>
      <c r="X22" s="45">
        <f>'FY27'!X22</f>
        <v>75</v>
      </c>
      <c r="Y22" s="45">
        <f>'FY28'!X22</f>
        <v>70</v>
      </c>
      <c r="Z22" s="45">
        <f>'FY29'!X22</f>
        <v>80</v>
      </c>
      <c r="AA22" s="45">
        <f>'FY30'!X22</f>
        <v>80</v>
      </c>
      <c r="AB22" s="45">
        <f>'FY31'!X22</f>
        <v>80</v>
      </c>
      <c r="AC22" s="196"/>
      <c r="AD22" s="45">
        <f>'FY27'!AD22</f>
        <v>0</v>
      </c>
      <c r="AE22" s="45">
        <f>'FY28'!AD22</f>
        <v>150</v>
      </c>
      <c r="AF22" s="45">
        <f>'FY29'!AD22</f>
        <v>210</v>
      </c>
      <c r="AG22" s="45">
        <f>'FY30'!AD22</f>
        <v>305</v>
      </c>
      <c r="AH22" s="45">
        <f>'FY31'!AD22</f>
        <v>390</v>
      </c>
      <c r="AI22" s="196"/>
      <c r="AJ22" s="45">
        <f>'FY27'!AJ22</f>
        <v>0</v>
      </c>
      <c r="AK22" s="45">
        <f>'FY28'!AJ22</f>
        <v>0</v>
      </c>
      <c r="AL22" s="45">
        <f>'FY29'!AJ22</f>
        <v>260</v>
      </c>
      <c r="AM22" s="45">
        <f>'FY30'!AJ22</f>
        <v>300</v>
      </c>
      <c r="AN22" s="45">
        <f>'FY31'!AJ22</f>
        <v>330</v>
      </c>
      <c r="AP22" s="45">
        <f>'FY26'!AD22</f>
        <v>0</v>
      </c>
      <c r="AQ22" s="45">
        <f>'FY27'!AP22</f>
        <v>0</v>
      </c>
      <c r="AR22" s="45">
        <f>'FY28'!AP22</f>
        <v>0</v>
      </c>
      <c r="AS22" s="45">
        <f>'FY29'!AP22</f>
        <v>0</v>
      </c>
      <c r="AT22" s="45">
        <f>'FY30'!AP22</f>
        <v>0</v>
      </c>
      <c r="AU22" s="45">
        <f>'FY31'!AP22</f>
        <v>0</v>
      </c>
      <c r="AW22" s="45">
        <f>'FY26'!AJ22</f>
        <v>1523</v>
      </c>
      <c r="AX22" s="45">
        <f>'FY27'!AV22</f>
        <v>1525</v>
      </c>
      <c r="AY22" s="45">
        <f>'FY28'!AV22</f>
        <v>1670</v>
      </c>
      <c r="AZ22" s="45">
        <f>'FY29'!AV22</f>
        <v>2010</v>
      </c>
      <c r="BA22" s="45">
        <f>'FY30'!AV22</f>
        <v>2145</v>
      </c>
      <c r="BB22" s="45">
        <f>'FY31'!AV22</f>
        <v>2260</v>
      </c>
    </row>
    <row r="23" spans="1:54" x14ac:dyDescent="0.25">
      <c r="A23" s="5" t="s">
        <v>19</v>
      </c>
      <c r="B23" s="45">
        <f>'FY26'!F23</f>
        <v>0</v>
      </c>
      <c r="C23" s="45">
        <f>'FY27'!F23</f>
        <v>0</v>
      </c>
      <c r="D23" s="45">
        <f>'FY28'!F23</f>
        <v>0</v>
      </c>
      <c r="E23" s="45">
        <f>'FY29'!F23</f>
        <v>0</v>
      </c>
      <c r="F23" s="45">
        <f>'FY30'!F23</f>
        <v>0</v>
      </c>
      <c r="G23" s="45">
        <f>'FY31'!F23</f>
        <v>0</v>
      </c>
      <c r="I23" s="45">
        <f>'FY26'!L23</f>
        <v>0</v>
      </c>
      <c r="J23" s="45">
        <f>'FY27'!L23</f>
        <v>0</v>
      </c>
      <c r="K23" s="45">
        <f>'FY28'!L23</f>
        <v>0</v>
      </c>
      <c r="L23" s="45">
        <f>'FY29'!L23</f>
        <v>0</v>
      </c>
      <c r="M23" s="45">
        <f>'FY30'!L23</f>
        <v>0</v>
      </c>
      <c r="N23" s="45">
        <f>'FY31'!L23</f>
        <v>0</v>
      </c>
      <c r="P23" s="45">
        <f>'FY26'!R23</f>
        <v>0</v>
      </c>
      <c r="Q23" s="45">
        <f>'FY27'!R23</f>
        <v>0</v>
      </c>
      <c r="R23" s="45">
        <f>'FY28'!R23</f>
        <v>0</v>
      </c>
      <c r="S23" s="45">
        <f>'FY29'!R23</f>
        <v>0</v>
      </c>
      <c r="T23" s="45">
        <f>'FY30'!R23</f>
        <v>0</v>
      </c>
      <c r="U23" s="45">
        <f>'FY31'!R23</f>
        <v>0</v>
      </c>
      <c r="W23" s="45">
        <f>'FY26'!X23</f>
        <v>0</v>
      </c>
      <c r="X23" s="45">
        <f>'FY27'!X23</f>
        <v>0</v>
      </c>
      <c r="Y23" s="45">
        <f>'FY28'!X23</f>
        <v>0</v>
      </c>
      <c r="Z23" s="45">
        <f>'FY29'!X23</f>
        <v>0</v>
      </c>
      <c r="AA23" s="45">
        <f>'FY30'!X23</f>
        <v>0</v>
      </c>
      <c r="AB23" s="45">
        <f>'FY31'!X23</f>
        <v>0</v>
      </c>
      <c r="AC23" s="196"/>
      <c r="AD23" s="45">
        <f>'FY27'!AD23</f>
        <v>0</v>
      </c>
      <c r="AE23" s="45">
        <f>'FY28'!AD23</f>
        <v>0</v>
      </c>
      <c r="AF23" s="45">
        <f>'FY29'!AD23</f>
        <v>0</v>
      </c>
      <c r="AG23" s="45">
        <f>'FY30'!AD23</f>
        <v>0</v>
      </c>
      <c r="AH23" s="45">
        <f>'FY31'!AD23</f>
        <v>0</v>
      </c>
      <c r="AI23" s="196"/>
      <c r="AJ23" s="45">
        <f>'FY27'!AJ23</f>
        <v>0</v>
      </c>
      <c r="AK23" s="45">
        <f>'FY28'!AJ23</f>
        <v>0</v>
      </c>
      <c r="AL23" s="45">
        <f>'FY29'!AJ23</f>
        <v>0</v>
      </c>
      <c r="AM23" s="45">
        <f>'FY30'!AJ23</f>
        <v>0</v>
      </c>
      <c r="AN23" s="45">
        <f>'FY31'!AJ23</f>
        <v>0</v>
      </c>
      <c r="AP23" s="45">
        <f>'FY26'!AD23</f>
        <v>0</v>
      </c>
      <c r="AQ23" s="45">
        <f>'FY27'!AP23</f>
        <v>0</v>
      </c>
      <c r="AR23" s="45">
        <f>'FY28'!AP23</f>
        <v>0</v>
      </c>
      <c r="AS23" s="45">
        <f>'FY29'!AP23</f>
        <v>0</v>
      </c>
      <c r="AT23" s="45">
        <f>'FY30'!AP23</f>
        <v>0</v>
      </c>
      <c r="AU23" s="45">
        <f>'FY31'!AP23</f>
        <v>0</v>
      </c>
      <c r="AW23" s="45">
        <f>'FY26'!AJ23</f>
        <v>0</v>
      </c>
      <c r="AX23" s="45">
        <f>'FY27'!AV23</f>
        <v>0</v>
      </c>
      <c r="AY23" s="45">
        <f>'FY28'!AV23</f>
        <v>0</v>
      </c>
      <c r="AZ23" s="45">
        <f>'FY29'!AV23</f>
        <v>0</v>
      </c>
      <c r="BA23" s="45">
        <f>'FY30'!AV23</f>
        <v>0</v>
      </c>
      <c r="BB23" s="45">
        <f>'FY31'!AV23</f>
        <v>0</v>
      </c>
    </row>
    <row r="24" spans="1:54" x14ac:dyDescent="0.25">
      <c r="A24" s="5" t="s">
        <v>20</v>
      </c>
      <c r="B24" s="45">
        <f>'FY26'!F24</f>
        <v>0</v>
      </c>
      <c r="C24" s="45">
        <f>'FY27'!F24</f>
        <v>0</v>
      </c>
      <c r="D24" s="45">
        <f>'FY28'!F24</f>
        <v>0</v>
      </c>
      <c r="E24" s="45">
        <f>'FY29'!F24</f>
        <v>0</v>
      </c>
      <c r="F24" s="45">
        <f>'FY30'!F24</f>
        <v>0</v>
      </c>
      <c r="G24" s="45">
        <f>'FY31'!F24</f>
        <v>0</v>
      </c>
      <c r="I24" s="45">
        <f>'FY26'!L24</f>
        <v>0</v>
      </c>
      <c r="J24" s="45">
        <f>'FY27'!L24</f>
        <v>0</v>
      </c>
      <c r="K24" s="45">
        <f>'FY28'!L24</f>
        <v>0</v>
      </c>
      <c r="L24" s="45">
        <f>'FY29'!L24</f>
        <v>0</v>
      </c>
      <c r="M24" s="45">
        <f>'FY30'!L24</f>
        <v>0</v>
      </c>
      <c r="N24" s="45">
        <f>'FY31'!L24</f>
        <v>0</v>
      </c>
      <c r="P24" s="45">
        <f>'FY26'!R24</f>
        <v>5</v>
      </c>
      <c r="Q24" s="45">
        <f>'FY27'!R24</f>
        <v>5</v>
      </c>
      <c r="R24" s="45">
        <f>'FY28'!R24</f>
        <v>5</v>
      </c>
      <c r="S24" s="45">
        <f>'FY29'!R24</f>
        <v>5</v>
      </c>
      <c r="T24" s="45">
        <f>'FY30'!R24</f>
        <v>5</v>
      </c>
      <c r="U24" s="45">
        <f>'FY31'!R24</f>
        <v>5</v>
      </c>
      <c r="W24" s="45">
        <f>'FY26'!X24</f>
        <v>0</v>
      </c>
      <c r="X24" s="45">
        <f>'FY27'!X24</f>
        <v>0</v>
      </c>
      <c r="Y24" s="45">
        <f>'FY28'!X24</f>
        <v>0</v>
      </c>
      <c r="Z24" s="45">
        <f>'FY29'!X24</f>
        <v>0</v>
      </c>
      <c r="AA24" s="45">
        <f>'FY30'!X24</f>
        <v>50</v>
      </c>
      <c r="AB24" s="45">
        <f>'FY31'!X24</f>
        <v>0</v>
      </c>
      <c r="AC24" s="196"/>
      <c r="AD24" s="45">
        <f>'FY27'!AD24</f>
        <v>0</v>
      </c>
      <c r="AE24" s="45">
        <f>'FY28'!AD24</f>
        <v>0</v>
      </c>
      <c r="AF24" s="45">
        <f>'FY29'!AD24</f>
        <v>0</v>
      </c>
      <c r="AG24" s="45">
        <f>'FY30'!AD24</f>
        <v>0</v>
      </c>
      <c r="AH24" s="45">
        <f>'FY31'!AD24</f>
        <v>0</v>
      </c>
      <c r="AI24" s="196"/>
      <c r="AJ24" s="45">
        <f>'FY27'!AJ24</f>
        <v>0</v>
      </c>
      <c r="AK24" s="45">
        <f>'FY28'!AJ24</f>
        <v>0</v>
      </c>
      <c r="AL24" s="45">
        <f>'FY29'!AJ24</f>
        <v>0</v>
      </c>
      <c r="AM24" s="45">
        <f>'FY30'!AJ24</f>
        <v>100</v>
      </c>
      <c r="AN24" s="45">
        <f>'FY31'!AJ24</f>
        <v>0</v>
      </c>
      <c r="AP24" s="45">
        <f>'FY26'!AD24</f>
        <v>0</v>
      </c>
      <c r="AQ24" s="45">
        <f>'FY27'!AP24</f>
        <v>0</v>
      </c>
      <c r="AR24" s="45">
        <f>'FY28'!AP24</f>
        <v>0</v>
      </c>
      <c r="AS24" s="45">
        <f>'FY29'!AP24</f>
        <v>0</v>
      </c>
      <c r="AT24" s="45">
        <f>'FY30'!AP24</f>
        <v>0</v>
      </c>
      <c r="AU24" s="45">
        <f>'FY31'!AP24</f>
        <v>0</v>
      </c>
      <c r="AW24" s="45">
        <f>'FY26'!AJ24</f>
        <v>5</v>
      </c>
      <c r="AX24" s="45">
        <f>'FY27'!AV24</f>
        <v>5</v>
      </c>
      <c r="AY24" s="45">
        <f>'FY28'!AV24</f>
        <v>5</v>
      </c>
      <c r="AZ24" s="45">
        <f>'FY29'!AV24</f>
        <v>5</v>
      </c>
      <c r="BA24" s="45">
        <f>'FY30'!AV24</f>
        <v>155</v>
      </c>
      <c r="BB24" s="45">
        <f>'FY31'!AV24</f>
        <v>5</v>
      </c>
    </row>
    <row r="25" spans="1:54" x14ac:dyDescent="0.25">
      <c r="A25" s="5" t="s">
        <v>21</v>
      </c>
      <c r="B25" s="45">
        <f>'FY26'!F25</f>
        <v>1</v>
      </c>
      <c r="C25" s="45">
        <f>'FY27'!F25</f>
        <v>1</v>
      </c>
      <c r="D25" s="45">
        <f>'FY28'!F25</f>
        <v>1</v>
      </c>
      <c r="E25" s="45">
        <f>'FY29'!F25</f>
        <v>1</v>
      </c>
      <c r="F25" s="45">
        <f>'FY30'!F25</f>
        <v>1</v>
      </c>
      <c r="G25" s="45">
        <f>'FY31'!F25</f>
        <v>1</v>
      </c>
      <c r="I25" s="45">
        <f>'FY26'!L25</f>
        <v>1</v>
      </c>
      <c r="J25" s="45">
        <f>'FY27'!L25</f>
        <v>1</v>
      </c>
      <c r="K25" s="45">
        <f>'FY28'!L25</f>
        <v>1</v>
      </c>
      <c r="L25" s="45">
        <f>'FY29'!L25</f>
        <v>1</v>
      </c>
      <c r="M25" s="45">
        <f>'FY30'!L25</f>
        <v>1</v>
      </c>
      <c r="N25" s="45">
        <f>'FY31'!L25</f>
        <v>1</v>
      </c>
      <c r="P25" s="45">
        <f>'FY26'!R25</f>
        <v>1</v>
      </c>
      <c r="Q25" s="45">
        <f>'FY27'!R25</f>
        <v>1</v>
      </c>
      <c r="R25" s="45">
        <f>'FY28'!R25</f>
        <v>1</v>
      </c>
      <c r="S25" s="45">
        <f>'FY29'!R25</f>
        <v>1</v>
      </c>
      <c r="T25" s="45">
        <f>'FY30'!R25</f>
        <v>1</v>
      </c>
      <c r="U25" s="45">
        <f>'FY31'!R25</f>
        <v>1</v>
      </c>
      <c r="W25" s="45">
        <f>'FY26'!X25</f>
        <v>1</v>
      </c>
      <c r="X25" s="45">
        <f>'FY27'!X25</f>
        <v>1</v>
      </c>
      <c r="Y25" s="45">
        <f>'FY28'!X25</f>
        <v>1</v>
      </c>
      <c r="Z25" s="45">
        <f>'FY29'!X25</f>
        <v>1</v>
      </c>
      <c r="AA25" s="45">
        <f>'FY30'!X25</f>
        <v>1</v>
      </c>
      <c r="AB25" s="45">
        <f>'FY31'!X25</f>
        <v>1</v>
      </c>
      <c r="AC25" s="196"/>
      <c r="AD25" s="45">
        <f>'FY27'!AD25</f>
        <v>1</v>
      </c>
      <c r="AE25" s="45">
        <f>'FY28'!AD25</f>
        <v>1</v>
      </c>
      <c r="AF25" s="45">
        <f>'FY29'!AD25</f>
        <v>1</v>
      </c>
      <c r="AG25" s="45">
        <f>'FY30'!AD25</f>
        <v>1</v>
      </c>
      <c r="AH25" s="45">
        <f>'FY31'!AD25</f>
        <v>1</v>
      </c>
      <c r="AI25" s="196"/>
      <c r="AJ25" s="45">
        <f>'FY27'!AJ25</f>
        <v>0</v>
      </c>
      <c r="AK25" s="45">
        <f>'FY28'!AJ25</f>
        <v>1</v>
      </c>
      <c r="AL25" s="45">
        <f>'FY29'!AJ25</f>
        <v>1</v>
      </c>
      <c r="AM25" s="45">
        <f>'FY30'!AJ25</f>
        <v>1</v>
      </c>
      <c r="AN25" s="45">
        <f>'FY31'!AJ25</f>
        <v>1</v>
      </c>
      <c r="AP25" s="45">
        <f>'FY26'!AD25</f>
        <v>0</v>
      </c>
      <c r="AQ25" s="45">
        <f>'FY27'!AP25</f>
        <v>0</v>
      </c>
      <c r="AR25" s="45">
        <f>'FY28'!AP25</f>
        <v>0</v>
      </c>
      <c r="AS25" s="45">
        <f>'FY29'!AP25</f>
        <v>0</v>
      </c>
      <c r="AT25" s="45">
        <f>'FY30'!AP25</f>
        <v>0</v>
      </c>
      <c r="AU25" s="45">
        <f>'FY31'!AP25</f>
        <v>0</v>
      </c>
      <c r="AW25" s="45">
        <f>'FY26'!AJ25</f>
        <v>1</v>
      </c>
      <c r="AX25" s="45">
        <f>'FY27'!AV25</f>
        <v>1</v>
      </c>
      <c r="AY25" s="45">
        <f>'FY28'!AV25</f>
        <v>1</v>
      </c>
      <c r="AZ25" s="45">
        <f>'FY29'!AV25</f>
        <v>1</v>
      </c>
      <c r="BA25" s="45">
        <f>'FY30'!AV25</f>
        <v>1</v>
      </c>
      <c r="BB25" s="45">
        <f>'FY31'!AV25</f>
        <v>1</v>
      </c>
    </row>
    <row r="26" spans="1:54" x14ac:dyDescent="0.25">
      <c r="A26" s="9" t="s">
        <v>22</v>
      </c>
      <c r="B26" s="46" t="str">
        <f>'FY26'!F26</f>
        <v>FY26- Mtn</v>
      </c>
      <c r="C26" s="46" t="str">
        <f>'FY27'!F26</f>
        <v>FY27- Mtn</v>
      </c>
      <c r="D26" s="46" t="str">
        <f>'FY28'!F26</f>
        <v>FY28- Mtn</v>
      </c>
      <c r="E26" s="46" t="str">
        <f>'FY29'!F26</f>
        <v>FY29- Mtn</v>
      </c>
      <c r="F26" s="46" t="str">
        <f>'FY30'!F26</f>
        <v>FY30- Mtn</v>
      </c>
      <c r="G26" s="46" t="str">
        <f>'FY31'!F26</f>
        <v>FY31- Mtn</v>
      </c>
      <c r="I26" s="46" t="str">
        <f>'FY26'!L26</f>
        <v>FY26- Bon</v>
      </c>
      <c r="J26" s="46" t="str">
        <f>'FY27'!L26</f>
        <v>FY27- Bon</v>
      </c>
      <c r="K26" s="46" t="str">
        <f>'FY28'!L26</f>
        <v>FY28- Bon</v>
      </c>
      <c r="L26" s="46" t="str">
        <f>'FY29'!L26</f>
        <v>FY29- Bon</v>
      </c>
      <c r="M26" s="46" t="str">
        <f>'FY30'!L26</f>
        <v>FY30- Bon</v>
      </c>
      <c r="N26" s="46" t="str">
        <f>'FY31'!L26</f>
        <v>FY31- Bon</v>
      </c>
      <c r="P26" s="46" t="str">
        <f>'FY26'!R26</f>
        <v>FY26- East</v>
      </c>
      <c r="Q26" s="46" t="str">
        <f>'FY27'!R26</f>
        <v>FY27- East</v>
      </c>
      <c r="R26" s="46" t="str">
        <f>'FY28'!R26</f>
        <v>FY28- East</v>
      </c>
      <c r="S26" s="46" t="str">
        <f>'FY29'!R26</f>
        <v>FY29- East</v>
      </c>
      <c r="T26" s="46" t="str">
        <f>'FY30'!R26</f>
        <v>FY30- East</v>
      </c>
      <c r="U26" s="46" t="str">
        <f>'FY31'!R26</f>
        <v>FY31- East</v>
      </c>
      <c r="W26" s="46" t="str">
        <f>'FY26'!X26</f>
        <v>FY26- Cactus</v>
      </c>
      <c r="X26" s="46" t="str">
        <f>'FY27'!X26</f>
        <v>FY27- Cactus</v>
      </c>
      <c r="Y26" s="46" t="str">
        <f>'FY28'!X26</f>
        <v>FY28- Cactus</v>
      </c>
      <c r="Z26" s="46" t="str">
        <f>'FY29'!X26</f>
        <v>FY29- Cactus</v>
      </c>
      <c r="AA26" s="46" t="str">
        <f>'FY30'!X26</f>
        <v>FY30- Cactus</v>
      </c>
      <c r="AB26" s="46" t="str">
        <f>'FY31'!X26</f>
        <v>FY31- Cactus</v>
      </c>
      <c r="AC26" s="195"/>
      <c r="AD26" s="46" t="str">
        <f>'FY27'!AD26</f>
        <v>FY27- Sahara</v>
      </c>
      <c r="AE26" s="46" t="str">
        <f>'FY28'!AD26</f>
        <v>FY28- Sahara</v>
      </c>
      <c r="AF26" s="46" t="str">
        <f>'FY29'!AD26</f>
        <v>FY29- Sahara</v>
      </c>
      <c r="AG26" s="46" t="str">
        <f>'FY30'!AD26</f>
        <v>FY30- Sahara</v>
      </c>
      <c r="AH26" s="46" t="str">
        <f>'FY31'!AD26</f>
        <v>FY31- Sahara</v>
      </c>
      <c r="AI26" s="195"/>
      <c r="AJ26" s="46" t="str">
        <f>'FY27'!AJ26</f>
        <v>FY27- VV</v>
      </c>
      <c r="AK26" s="46" t="str">
        <f>'FY28'!AJ26</f>
        <v>FY27- VV</v>
      </c>
      <c r="AL26" s="46" t="str">
        <f>'FY29'!AJ26</f>
        <v>FY29- VV</v>
      </c>
      <c r="AM26" s="46" t="str">
        <f>'FY30'!AJ26</f>
        <v>FY30- VV</v>
      </c>
      <c r="AN26" s="46" t="str">
        <f>'FY31'!AJ26</f>
        <v>FY31- VV</v>
      </c>
      <c r="AP26" s="46" t="str">
        <f>'FY26'!AD26</f>
        <v>FY26 - Central</v>
      </c>
      <c r="AQ26" s="46" t="str">
        <f>'FY27'!AP26</f>
        <v>FY27 - Central</v>
      </c>
      <c r="AR26" s="46" t="str">
        <f>'FY28'!AP26</f>
        <v>FY28 - Central</v>
      </c>
      <c r="AS26" s="46" t="str">
        <f>'FY29'!AP26</f>
        <v>FY29 - Central</v>
      </c>
      <c r="AT26" s="46" t="str">
        <f>'FY30'!AP26</f>
        <v>FY30 - Central</v>
      </c>
      <c r="AU26" s="46" t="str">
        <f>'FY31'!AP26</f>
        <v>FY31 - Central</v>
      </c>
      <c r="AW26" s="46" t="str">
        <f>'FY26'!AJ26</f>
        <v>FY26- Sys</v>
      </c>
      <c r="AX26" s="46" t="str">
        <f>'FY27'!AV26</f>
        <v>FY27- Sys</v>
      </c>
      <c r="AY26" s="46" t="str">
        <f>'FY28'!AV26</f>
        <v>FY28- Sys</v>
      </c>
      <c r="AZ26" s="46" t="str">
        <f>'FY29'!AV26</f>
        <v>FY29- Sys</v>
      </c>
      <c r="BA26" s="46" t="str">
        <f>'FY30'!AV26</f>
        <v>FY29- Sys</v>
      </c>
      <c r="BB26" s="46" t="str">
        <f>'FY31'!AV26</f>
        <v>FY31- Sys</v>
      </c>
    </row>
    <row r="27" spans="1:54" x14ac:dyDescent="0.25">
      <c r="A27" s="10" t="s">
        <v>23</v>
      </c>
      <c r="B27" s="50">
        <f>'FY26'!F27</f>
        <v>36</v>
      </c>
      <c r="C27" s="50">
        <f>'FY27'!F27</f>
        <v>36</v>
      </c>
      <c r="D27" s="50">
        <f>'FY28'!F27</f>
        <v>36</v>
      </c>
      <c r="E27" s="50">
        <f>'FY29'!F27</f>
        <v>36</v>
      </c>
      <c r="F27" s="50">
        <f>'FY30'!F27</f>
        <v>36</v>
      </c>
      <c r="G27" s="50">
        <f>'FY31'!F27</f>
        <v>36</v>
      </c>
      <c r="I27" s="50">
        <f>'FY26'!L27</f>
        <v>36</v>
      </c>
      <c r="J27" s="50">
        <f>'FY27'!L27</f>
        <v>36</v>
      </c>
      <c r="K27" s="50">
        <f>'FY28'!L27</f>
        <v>36</v>
      </c>
      <c r="L27" s="50">
        <f>'FY29'!L27</f>
        <v>36</v>
      </c>
      <c r="M27" s="50">
        <f>'FY30'!L27</f>
        <v>36</v>
      </c>
      <c r="N27" s="50">
        <f>'FY31'!L27</f>
        <v>36</v>
      </c>
      <c r="P27" s="50">
        <f>'FY26'!R27</f>
        <v>83</v>
      </c>
      <c r="Q27" s="50">
        <f>'FY27'!R27</f>
        <v>83</v>
      </c>
      <c r="R27" s="50">
        <f>'FY28'!R27</f>
        <v>83</v>
      </c>
      <c r="S27" s="50">
        <f>'FY29'!R27</f>
        <v>83</v>
      </c>
      <c r="T27" s="50">
        <f>'FY30'!R27</f>
        <v>84</v>
      </c>
      <c r="U27" s="50">
        <f>'FY31'!R27</f>
        <v>84</v>
      </c>
      <c r="W27" s="50">
        <f>'FY26'!X27</f>
        <v>18</v>
      </c>
      <c r="X27" s="50">
        <f>'FY27'!X27</f>
        <v>20</v>
      </c>
      <c r="Y27" s="50">
        <f>'FY28'!X27</f>
        <v>20</v>
      </c>
      <c r="Z27" s="50">
        <f>'FY29'!X27</f>
        <v>20</v>
      </c>
      <c r="AA27" s="50">
        <f>'FY30'!X27</f>
        <v>20</v>
      </c>
      <c r="AB27" s="50">
        <f>'FY31'!X27</f>
        <v>20</v>
      </c>
      <c r="AC27" s="193"/>
      <c r="AD27" s="50">
        <f>'FY27'!AD27</f>
        <v>16</v>
      </c>
      <c r="AE27" s="50">
        <f>'FY28'!AD27</f>
        <v>22</v>
      </c>
      <c r="AF27" s="50">
        <f>'FY29'!AD27</f>
        <v>31</v>
      </c>
      <c r="AG27" s="50">
        <f>'FY30'!AD27</f>
        <v>39</v>
      </c>
      <c r="AH27" s="50">
        <f>'FY31'!AD27</f>
        <v>46</v>
      </c>
      <c r="AI27" s="193"/>
      <c r="AJ27" s="50">
        <f>'FY27'!AJ27</f>
        <v>0</v>
      </c>
      <c r="AK27" s="50">
        <f>'FY28'!AJ27</f>
        <v>28</v>
      </c>
      <c r="AL27" s="50">
        <f>'FY29'!AJ27</f>
        <v>33</v>
      </c>
      <c r="AM27" s="50">
        <f>'FY30'!AJ27</f>
        <v>37</v>
      </c>
      <c r="AN27" s="50">
        <f>'FY31'!AJ27</f>
        <v>36</v>
      </c>
      <c r="AP27" s="50">
        <f>'FY26'!AD27</f>
        <v>0</v>
      </c>
      <c r="AQ27" s="50">
        <f>'FY27'!AP27</f>
        <v>0</v>
      </c>
      <c r="AR27" s="50">
        <f>'FY28'!AP27</f>
        <v>0</v>
      </c>
      <c r="AS27" s="50">
        <f>'FY29'!AP27</f>
        <v>0</v>
      </c>
      <c r="AT27" s="50">
        <f>'FY30'!AP27</f>
        <v>0</v>
      </c>
      <c r="AU27" s="50">
        <f>'FY31'!AP27</f>
        <v>0</v>
      </c>
      <c r="AW27" s="50">
        <f>'FY26'!AJ27</f>
        <v>173</v>
      </c>
      <c r="AX27" s="50">
        <f>'FY27'!AV27</f>
        <v>191</v>
      </c>
      <c r="AY27" s="50">
        <f>'FY28'!AV27</f>
        <v>225</v>
      </c>
      <c r="AZ27" s="50">
        <f>'FY29'!AV27</f>
        <v>239</v>
      </c>
      <c r="BA27" s="50">
        <f>'FY30'!AV27</f>
        <v>252</v>
      </c>
      <c r="BB27" s="50">
        <f>'FY31'!AV27</f>
        <v>258</v>
      </c>
    </row>
    <row r="28" spans="1:54" x14ac:dyDescent="0.25">
      <c r="A28" s="10" t="s">
        <v>24</v>
      </c>
      <c r="B28" s="50">
        <f>'FY26'!F28</f>
        <v>5</v>
      </c>
      <c r="C28" s="50">
        <f>'FY27'!F28</f>
        <v>5</v>
      </c>
      <c r="D28" s="50">
        <f>'FY28'!F28</f>
        <v>5</v>
      </c>
      <c r="E28" s="50">
        <f>'FY29'!F28</f>
        <v>5</v>
      </c>
      <c r="F28" s="50">
        <f>'FY30'!F28</f>
        <v>5</v>
      </c>
      <c r="G28" s="50">
        <f>'FY31'!F28</f>
        <v>5</v>
      </c>
      <c r="I28" s="50">
        <f>'FY26'!L28</f>
        <v>4</v>
      </c>
      <c r="J28" s="50">
        <f>'FY27'!L28</f>
        <v>4</v>
      </c>
      <c r="K28" s="50">
        <f>'FY28'!L28</f>
        <v>4</v>
      </c>
      <c r="L28" s="50">
        <f>'FY29'!L28</f>
        <v>4</v>
      </c>
      <c r="M28" s="50">
        <f>'FY30'!L28</f>
        <v>4</v>
      </c>
      <c r="N28" s="50">
        <f>'FY31'!L28</f>
        <v>4</v>
      </c>
      <c r="P28" s="50">
        <f>'FY26'!R28</f>
        <v>13</v>
      </c>
      <c r="Q28" s="50">
        <f>'FY27'!R28</f>
        <v>14</v>
      </c>
      <c r="R28" s="50">
        <f>'FY28'!R28</f>
        <v>14</v>
      </c>
      <c r="S28" s="50">
        <f>'FY29'!R28</f>
        <v>14</v>
      </c>
      <c r="T28" s="50">
        <f>'FY30'!R28</f>
        <v>14</v>
      </c>
      <c r="U28" s="50">
        <f>'FY31'!R28</f>
        <v>14</v>
      </c>
      <c r="W28" s="50">
        <f>'FY26'!X28</f>
        <v>3</v>
      </c>
      <c r="X28" s="50">
        <f>'FY27'!X28</f>
        <v>3</v>
      </c>
      <c r="Y28" s="50">
        <f>'FY28'!X28</f>
        <v>3</v>
      </c>
      <c r="Z28" s="50">
        <f>'FY29'!X28</f>
        <v>3</v>
      </c>
      <c r="AA28" s="50">
        <f>'FY30'!X28</f>
        <v>3</v>
      </c>
      <c r="AB28" s="50">
        <f>'FY31'!X28</f>
        <v>3</v>
      </c>
      <c r="AC28" s="193"/>
      <c r="AD28" s="50">
        <f>'FY27'!AD28</f>
        <v>1.5</v>
      </c>
      <c r="AE28" s="50">
        <f>'FY28'!AD28</f>
        <v>3</v>
      </c>
      <c r="AF28" s="50">
        <f>'FY29'!AD28</f>
        <v>4.5</v>
      </c>
      <c r="AG28" s="50">
        <f>'FY30'!AD28</f>
        <v>6</v>
      </c>
      <c r="AH28" s="50">
        <f>'FY31'!AD28</f>
        <v>7</v>
      </c>
      <c r="AI28" s="193"/>
      <c r="AJ28" s="50">
        <f>'FY27'!AJ28</f>
        <v>0</v>
      </c>
      <c r="AK28" s="50">
        <f>'FY28'!AJ28</f>
        <v>4</v>
      </c>
      <c r="AL28" s="50">
        <f>'FY29'!AJ28</f>
        <v>4.5</v>
      </c>
      <c r="AM28" s="50">
        <f>'FY30'!AJ28</f>
        <v>5</v>
      </c>
      <c r="AN28" s="50">
        <f>'FY31'!AJ28</f>
        <v>5</v>
      </c>
      <c r="AP28" s="50">
        <f>'FY26'!AD28</f>
        <v>0</v>
      </c>
      <c r="AQ28" s="50">
        <f>'FY27'!AP28</f>
        <v>0</v>
      </c>
      <c r="AR28" s="50">
        <f>'FY28'!AP28</f>
        <v>0</v>
      </c>
      <c r="AS28" s="50">
        <f>'FY29'!AP28</f>
        <v>0</v>
      </c>
      <c r="AT28" s="50">
        <f>'FY30'!AP28</f>
        <v>0</v>
      </c>
      <c r="AU28" s="50">
        <f>'FY31'!AP28</f>
        <v>0</v>
      </c>
      <c r="AW28" s="50">
        <f>'FY26'!AJ28</f>
        <v>25</v>
      </c>
      <c r="AX28" s="50">
        <f>'FY27'!AV28</f>
        <v>27.5</v>
      </c>
      <c r="AY28" s="50">
        <f>'FY28'!AV28</f>
        <v>33</v>
      </c>
      <c r="AZ28" s="50">
        <f>'FY29'!AV28</f>
        <v>35</v>
      </c>
      <c r="BA28" s="50">
        <f>'FY30'!AV28</f>
        <v>37</v>
      </c>
      <c r="BB28" s="50">
        <f>'FY31'!AV28</f>
        <v>38</v>
      </c>
    </row>
    <row r="29" spans="1:54" x14ac:dyDescent="0.25">
      <c r="A29" s="10" t="s">
        <v>25</v>
      </c>
      <c r="B29" s="50">
        <f>'FY26'!F29</f>
        <v>1</v>
      </c>
      <c r="C29" s="50">
        <f>'FY27'!F29</f>
        <v>1</v>
      </c>
      <c r="D29" s="50">
        <f>'FY28'!F29</f>
        <v>1</v>
      </c>
      <c r="E29" s="50">
        <f>'FY29'!F29</f>
        <v>1</v>
      </c>
      <c r="F29" s="50">
        <f>'FY30'!F29</f>
        <v>1</v>
      </c>
      <c r="G29" s="50">
        <f>'FY31'!F29</f>
        <v>1</v>
      </c>
      <c r="I29" s="50">
        <f>'FY26'!L29</f>
        <v>1</v>
      </c>
      <c r="J29" s="50">
        <f>'FY27'!L29</f>
        <v>1</v>
      </c>
      <c r="K29" s="50">
        <f>'FY28'!L29</f>
        <v>1</v>
      </c>
      <c r="L29" s="50">
        <f>'FY29'!L29</f>
        <v>1</v>
      </c>
      <c r="M29" s="50">
        <f>'FY30'!L29</f>
        <v>1</v>
      </c>
      <c r="N29" s="50">
        <f>'FY31'!L29</f>
        <v>1</v>
      </c>
      <c r="P29" s="50">
        <f>'FY26'!R29</f>
        <v>3</v>
      </c>
      <c r="Q29" s="50">
        <f>'FY27'!R29</f>
        <v>3</v>
      </c>
      <c r="R29" s="50">
        <f>'FY28'!R29</f>
        <v>3</v>
      </c>
      <c r="S29" s="50">
        <f>'FY29'!R29</f>
        <v>3</v>
      </c>
      <c r="T29" s="50">
        <f>'FY30'!R29</f>
        <v>3</v>
      </c>
      <c r="U29" s="50">
        <f>'FY31'!R29</f>
        <v>3</v>
      </c>
      <c r="W29" s="50">
        <f>'FY26'!X29</f>
        <v>1</v>
      </c>
      <c r="X29" s="50">
        <f>'FY27'!X29</f>
        <v>1</v>
      </c>
      <c r="Y29" s="50">
        <f>'FY28'!X29</f>
        <v>1</v>
      </c>
      <c r="Z29" s="50">
        <f>'FY29'!X29</f>
        <v>1</v>
      </c>
      <c r="AA29" s="50">
        <f>'FY30'!X29</f>
        <v>1</v>
      </c>
      <c r="AB29" s="50">
        <f>'FY31'!X29</f>
        <v>1</v>
      </c>
      <c r="AC29" s="193"/>
      <c r="AD29" s="50">
        <f>'FY27'!AD29</f>
        <v>1</v>
      </c>
      <c r="AE29" s="50">
        <f>'FY28'!AD29</f>
        <v>1</v>
      </c>
      <c r="AF29" s="50">
        <f>'FY29'!AD29</f>
        <v>1</v>
      </c>
      <c r="AG29" s="50">
        <f>'FY30'!AD29</f>
        <v>1</v>
      </c>
      <c r="AH29" s="50">
        <f>'FY31'!AD29</f>
        <v>2</v>
      </c>
      <c r="AI29" s="193"/>
      <c r="AJ29" s="50">
        <f>'FY27'!AJ29</f>
        <v>0</v>
      </c>
      <c r="AK29" s="50">
        <f>'FY28'!AJ29</f>
        <v>1</v>
      </c>
      <c r="AL29" s="50">
        <f>'FY29'!AJ29</f>
        <v>1</v>
      </c>
      <c r="AM29" s="50">
        <f>'FY30'!AJ29</f>
        <v>1</v>
      </c>
      <c r="AN29" s="50">
        <f>'FY31'!AJ29</f>
        <v>1</v>
      </c>
      <c r="AP29" s="50">
        <f>'FY26'!AD29</f>
        <v>0</v>
      </c>
      <c r="AQ29" s="50">
        <f>'FY27'!AP29</f>
        <v>0</v>
      </c>
      <c r="AR29" s="50">
        <f>'FY28'!AP29</f>
        <v>0</v>
      </c>
      <c r="AS29" s="50">
        <f>'FY29'!AP29</f>
        <v>0</v>
      </c>
      <c r="AT29" s="50">
        <f>'FY30'!AP29</f>
        <v>0</v>
      </c>
      <c r="AU29" s="50">
        <f>'FY31'!AP29</f>
        <v>0</v>
      </c>
      <c r="AW29" s="50">
        <f>'FY26'!AJ29</f>
        <v>6</v>
      </c>
      <c r="AX29" s="50">
        <f>'FY27'!AV29</f>
        <v>7</v>
      </c>
      <c r="AY29" s="50">
        <f>'FY28'!AV29</f>
        <v>8</v>
      </c>
      <c r="AZ29" s="50">
        <f>'FY29'!AV29</f>
        <v>8</v>
      </c>
      <c r="BA29" s="50">
        <f>'FY30'!AV29</f>
        <v>8</v>
      </c>
      <c r="BB29" s="50">
        <f>'FY31'!AV29</f>
        <v>9</v>
      </c>
    </row>
    <row r="30" spans="1:54" x14ac:dyDescent="0.25">
      <c r="A30" s="10" t="s">
        <v>26</v>
      </c>
      <c r="B30" s="50">
        <f>'FY26'!F30</f>
        <v>1</v>
      </c>
      <c r="C30" s="50">
        <f>'FY27'!F30</f>
        <v>1</v>
      </c>
      <c r="D30" s="50">
        <f>'FY28'!F30</f>
        <v>1</v>
      </c>
      <c r="E30" s="50">
        <f>'FY29'!F30</f>
        <v>1</v>
      </c>
      <c r="F30" s="50">
        <f>'FY30'!F30</f>
        <v>1</v>
      </c>
      <c r="G30" s="50">
        <f>'FY31'!F30</f>
        <v>1</v>
      </c>
      <c r="I30" s="50">
        <f>'FY26'!L30</f>
        <v>1</v>
      </c>
      <c r="J30" s="50">
        <f>'FY27'!L30</f>
        <v>1</v>
      </c>
      <c r="K30" s="50">
        <f>'FY28'!L30</f>
        <v>1</v>
      </c>
      <c r="L30" s="50">
        <f>'FY29'!L30</f>
        <v>1</v>
      </c>
      <c r="M30" s="50">
        <f>'FY30'!L30</f>
        <v>1</v>
      </c>
      <c r="N30" s="50">
        <f>'FY31'!L30</f>
        <v>1</v>
      </c>
      <c r="P30" s="50">
        <f>'FY26'!R30</f>
        <v>3</v>
      </c>
      <c r="Q30" s="50">
        <f>'FY27'!R30</f>
        <v>3</v>
      </c>
      <c r="R30" s="50">
        <f>'FY28'!R30</f>
        <v>3</v>
      </c>
      <c r="S30" s="50">
        <f>'FY29'!R30</f>
        <v>3</v>
      </c>
      <c r="T30" s="50">
        <f>'FY30'!R30</f>
        <v>3</v>
      </c>
      <c r="U30" s="50">
        <f>'FY31'!R30</f>
        <v>3</v>
      </c>
      <c r="W30" s="50">
        <f>'FY26'!X30</f>
        <v>1</v>
      </c>
      <c r="X30" s="50">
        <f>'FY27'!X30</f>
        <v>1</v>
      </c>
      <c r="Y30" s="50">
        <f>'FY28'!X30</f>
        <v>1</v>
      </c>
      <c r="Z30" s="50">
        <f>'FY29'!X30</f>
        <v>1</v>
      </c>
      <c r="AA30" s="50">
        <f>'FY30'!X30</f>
        <v>1</v>
      </c>
      <c r="AB30" s="50">
        <f>'FY31'!X30</f>
        <v>1</v>
      </c>
      <c r="AC30" s="193"/>
      <c r="AD30" s="50">
        <f>'FY27'!AD30</f>
        <v>0.5</v>
      </c>
      <c r="AE30" s="50">
        <f>'FY28'!AD30</f>
        <v>1</v>
      </c>
      <c r="AF30" s="50">
        <f>'FY29'!AD30</f>
        <v>1</v>
      </c>
      <c r="AG30" s="50">
        <f>'FY30'!AD30</f>
        <v>2</v>
      </c>
      <c r="AH30" s="50">
        <f>'FY31'!AD30</f>
        <v>2</v>
      </c>
      <c r="AI30" s="193"/>
      <c r="AJ30" s="50">
        <f>'FY27'!AJ30</f>
        <v>0</v>
      </c>
      <c r="AK30" s="50">
        <f>'FY28'!AJ30</f>
        <v>1</v>
      </c>
      <c r="AL30" s="50">
        <f>'FY29'!AJ30</f>
        <v>1</v>
      </c>
      <c r="AM30" s="50">
        <f>'FY30'!AJ30</f>
        <v>1</v>
      </c>
      <c r="AN30" s="50">
        <f>'FY31'!AJ30</f>
        <v>1</v>
      </c>
      <c r="AP30" s="50">
        <f>'FY26'!AD30</f>
        <v>0</v>
      </c>
      <c r="AQ30" s="50">
        <f>'FY27'!AP30</f>
        <v>0</v>
      </c>
      <c r="AR30" s="50">
        <f>'FY28'!AP30</f>
        <v>0</v>
      </c>
      <c r="AS30" s="50">
        <f>'FY29'!AP30</f>
        <v>0</v>
      </c>
      <c r="AT30" s="50">
        <f>'FY30'!AP30</f>
        <v>0</v>
      </c>
      <c r="AU30" s="50">
        <f>'FY31'!AP30</f>
        <v>0</v>
      </c>
      <c r="AW30" s="50">
        <f>'FY26'!AJ30</f>
        <v>6</v>
      </c>
      <c r="AX30" s="50">
        <f>'FY27'!AV30</f>
        <v>6.5</v>
      </c>
      <c r="AY30" s="50">
        <f>'FY28'!AV30</f>
        <v>8</v>
      </c>
      <c r="AZ30" s="50">
        <f>'FY29'!AV30</f>
        <v>8</v>
      </c>
      <c r="BA30" s="50">
        <f>'FY30'!AV30</f>
        <v>9</v>
      </c>
      <c r="BB30" s="50">
        <f>'FY31'!AV30</f>
        <v>9</v>
      </c>
    </row>
    <row r="31" spans="1:54" x14ac:dyDescent="0.25">
      <c r="A31" s="10" t="s">
        <v>27</v>
      </c>
      <c r="B31" s="50">
        <f>'FY26'!F31</f>
        <v>1</v>
      </c>
      <c r="C31" s="50">
        <f>'FY27'!F31</f>
        <v>1</v>
      </c>
      <c r="D31" s="50">
        <f>'FY28'!F31</f>
        <v>1</v>
      </c>
      <c r="E31" s="50">
        <f>'FY29'!F31</f>
        <v>1</v>
      </c>
      <c r="F31" s="50">
        <f>'FY30'!F31</f>
        <v>1</v>
      </c>
      <c r="G31" s="50">
        <f>'FY31'!F31</f>
        <v>1</v>
      </c>
      <c r="I31" s="50">
        <f>'FY26'!L31</f>
        <v>1</v>
      </c>
      <c r="J31" s="50">
        <f>'FY27'!L31</f>
        <v>1</v>
      </c>
      <c r="K31" s="50">
        <f>'FY28'!L31</f>
        <v>1</v>
      </c>
      <c r="L31" s="50">
        <f>'FY29'!L31</f>
        <v>1</v>
      </c>
      <c r="M31" s="50">
        <f>'FY30'!L31</f>
        <v>1</v>
      </c>
      <c r="N31" s="50">
        <f>'FY31'!L31</f>
        <v>1</v>
      </c>
      <c r="P31" s="50">
        <f>'FY26'!R31</f>
        <v>3</v>
      </c>
      <c r="Q31" s="50">
        <f>'FY27'!R31</f>
        <v>3</v>
      </c>
      <c r="R31" s="50">
        <f>'FY28'!R31</f>
        <v>3</v>
      </c>
      <c r="S31" s="50">
        <f>'FY29'!R31</f>
        <v>3</v>
      </c>
      <c r="T31" s="50">
        <f>'FY30'!R31</f>
        <v>3</v>
      </c>
      <c r="U31" s="50">
        <f>'FY31'!R31</f>
        <v>3</v>
      </c>
      <c r="W31" s="50">
        <f>'FY26'!X31</f>
        <v>1</v>
      </c>
      <c r="X31" s="50">
        <f>'FY27'!X31</f>
        <v>1</v>
      </c>
      <c r="Y31" s="50">
        <f>'FY28'!X31</f>
        <v>1</v>
      </c>
      <c r="Z31" s="50">
        <f>'FY29'!X31</f>
        <v>1</v>
      </c>
      <c r="AA31" s="50">
        <f>'FY30'!X31</f>
        <v>1</v>
      </c>
      <c r="AB31" s="50">
        <f>'FY31'!X31</f>
        <v>1</v>
      </c>
      <c r="AC31" s="193"/>
      <c r="AD31" s="50">
        <f>'FY27'!AD31</f>
        <v>1</v>
      </c>
      <c r="AE31" s="50">
        <f>'FY28'!AD31</f>
        <v>1</v>
      </c>
      <c r="AF31" s="50">
        <f>'FY29'!AD31</f>
        <v>2</v>
      </c>
      <c r="AG31" s="50">
        <f>'FY30'!AD31</f>
        <v>2</v>
      </c>
      <c r="AH31" s="50">
        <f>'FY31'!AD31</f>
        <v>2</v>
      </c>
      <c r="AI31" s="193"/>
      <c r="AJ31" s="50">
        <f>'FY27'!AJ31</f>
        <v>0</v>
      </c>
      <c r="AK31" s="50">
        <f>'FY28'!AJ31</f>
        <v>1</v>
      </c>
      <c r="AL31" s="50">
        <f>'FY29'!AJ31</f>
        <v>1</v>
      </c>
      <c r="AM31" s="50">
        <f>'FY30'!AJ31</f>
        <v>2</v>
      </c>
      <c r="AN31" s="50">
        <f>'FY31'!AJ31</f>
        <v>2</v>
      </c>
      <c r="AP31" s="50">
        <f>'FY26'!AD31</f>
        <v>0</v>
      </c>
      <c r="AQ31" s="50">
        <f>'FY27'!AP31</f>
        <v>0</v>
      </c>
      <c r="AR31" s="50">
        <f>'FY28'!AP31</f>
        <v>0</v>
      </c>
      <c r="AS31" s="50">
        <f>'FY29'!AP31</f>
        <v>0</v>
      </c>
      <c r="AT31" s="50">
        <f>'FY30'!AP31</f>
        <v>0</v>
      </c>
      <c r="AU31" s="50">
        <f>'FY31'!AP31</f>
        <v>0</v>
      </c>
      <c r="AW31" s="50">
        <f>'FY26'!AJ31</f>
        <v>6</v>
      </c>
      <c r="AX31" s="50">
        <f>'FY27'!AV31</f>
        <v>7</v>
      </c>
      <c r="AY31" s="50">
        <f>'FY28'!AV31</f>
        <v>8</v>
      </c>
      <c r="AZ31" s="50">
        <f>'FY29'!AV31</f>
        <v>9</v>
      </c>
      <c r="BA31" s="50">
        <f>'FY30'!AV31</f>
        <v>10</v>
      </c>
      <c r="BB31" s="50">
        <f>'FY31'!AV31</f>
        <v>10</v>
      </c>
    </row>
    <row r="32" spans="1:54" x14ac:dyDescent="0.25">
      <c r="A32" s="11" t="s">
        <v>28</v>
      </c>
      <c r="B32" s="50">
        <f>'FY26'!F32</f>
        <v>1</v>
      </c>
      <c r="C32" s="50">
        <f>'FY27'!F32</f>
        <v>1</v>
      </c>
      <c r="D32" s="50">
        <f>'FY28'!F32</f>
        <v>1</v>
      </c>
      <c r="E32" s="50">
        <f>'FY29'!F32</f>
        <v>1</v>
      </c>
      <c r="F32" s="50">
        <f>'FY30'!F32</f>
        <v>1</v>
      </c>
      <c r="G32" s="50">
        <f>'FY31'!F32</f>
        <v>1</v>
      </c>
      <c r="I32" s="50">
        <f>'FY26'!L32</f>
        <v>1</v>
      </c>
      <c r="J32" s="50">
        <f>'FY27'!L32</f>
        <v>1</v>
      </c>
      <c r="K32" s="50">
        <f>'FY28'!L32</f>
        <v>1</v>
      </c>
      <c r="L32" s="50">
        <f>'FY29'!L32</f>
        <v>1</v>
      </c>
      <c r="M32" s="50">
        <f>'FY30'!L32</f>
        <v>1</v>
      </c>
      <c r="N32" s="50">
        <f>'FY31'!L32</f>
        <v>1</v>
      </c>
      <c r="P32" s="50">
        <f>'FY26'!R32</f>
        <v>2</v>
      </c>
      <c r="Q32" s="50">
        <f>'FY27'!R32</f>
        <v>2</v>
      </c>
      <c r="R32" s="50">
        <f>'FY28'!R32</f>
        <v>2</v>
      </c>
      <c r="S32" s="50">
        <f>'FY29'!R32</f>
        <v>2</v>
      </c>
      <c r="T32" s="50">
        <f>'FY30'!R32</f>
        <v>2</v>
      </c>
      <c r="U32" s="50">
        <f>'FY31'!R32</f>
        <v>2</v>
      </c>
      <c r="W32" s="50">
        <f>'FY26'!X32</f>
        <v>0</v>
      </c>
      <c r="X32" s="50">
        <f>'FY27'!X32</f>
        <v>0</v>
      </c>
      <c r="Y32" s="50">
        <f>'FY28'!X32</f>
        <v>0</v>
      </c>
      <c r="Z32" s="50">
        <f>'FY29'!X32</f>
        <v>0</v>
      </c>
      <c r="AA32" s="50">
        <f>'FY30'!X32</f>
        <v>0</v>
      </c>
      <c r="AB32" s="50">
        <f>'FY31'!X32</f>
        <v>0</v>
      </c>
      <c r="AC32" s="193"/>
      <c r="AD32" s="50">
        <f>'FY27'!AD32</f>
        <v>0</v>
      </c>
      <c r="AE32" s="50">
        <f>'FY28'!AD32</f>
        <v>0</v>
      </c>
      <c r="AF32" s="50">
        <f>'FY29'!AD32</f>
        <v>0</v>
      </c>
      <c r="AG32" s="50">
        <f>'FY30'!AD32</f>
        <v>0</v>
      </c>
      <c r="AH32" s="50">
        <f>'FY31'!AD32</f>
        <v>0</v>
      </c>
      <c r="AI32" s="193"/>
      <c r="AJ32" s="50">
        <f>'FY27'!AJ32</f>
        <v>0</v>
      </c>
      <c r="AK32" s="50">
        <f>'FY28'!AJ32</f>
        <v>0</v>
      </c>
      <c r="AL32" s="50">
        <f>'FY29'!AJ32</f>
        <v>0</v>
      </c>
      <c r="AM32" s="50">
        <f>'FY30'!AJ32</f>
        <v>0</v>
      </c>
      <c r="AN32" s="50">
        <f>'FY31'!AJ32</f>
        <v>0</v>
      </c>
      <c r="AP32" s="50">
        <f>'FY26'!AD32</f>
        <v>0</v>
      </c>
      <c r="AQ32" s="50">
        <f>'FY27'!AP32</f>
        <v>0</v>
      </c>
      <c r="AR32" s="50">
        <f>'FY28'!AP32</f>
        <v>0</v>
      </c>
      <c r="AS32" s="50">
        <f>'FY29'!AP32</f>
        <v>0</v>
      </c>
      <c r="AT32" s="50">
        <f>'FY30'!AP32</f>
        <v>0</v>
      </c>
      <c r="AU32" s="50">
        <f>'FY31'!AP32</f>
        <v>0</v>
      </c>
      <c r="AW32" s="50">
        <f>'FY26'!AJ32</f>
        <v>4</v>
      </c>
      <c r="AX32" s="50">
        <f>'FY27'!AV32</f>
        <v>4</v>
      </c>
      <c r="AY32" s="50">
        <f>'FY28'!AV32</f>
        <v>4</v>
      </c>
      <c r="AZ32" s="50">
        <f>'FY29'!AV32</f>
        <v>4</v>
      </c>
      <c r="BA32" s="50">
        <f>'FY30'!AV32</f>
        <v>4</v>
      </c>
      <c r="BB32" s="50">
        <f>'FY31'!AV32</f>
        <v>4</v>
      </c>
    </row>
    <row r="33" spans="1:54" x14ac:dyDescent="0.25">
      <c r="A33" s="11" t="s">
        <v>29</v>
      </c>
      <c r="B33" s="50">
        <f>'FY26'!F33</f>
        <v>1</v>
      </c>
      <c r="C33" s="50">
        <f>'FY27'!F33</f>
        <v>1</v>
      </c>
      <c r="D33" s="50">
        <f>'FY28'!F33</f>
        <v>1</v>
      </c>
      <c r="E33" s="50">
        <f>'FY29'!F33</f>
        <v>1</v>
      </c>
      <c r="F33" s="50">
        <f>'FY30'!F33</f>
        <v>1</v>
      </c>
      <c r="G33" s="50">
        <f>'FY31'!F33</f>
        <v>1</v>
      </c>
      <c r="I33" s="50">
        <f>'FY26'!L33</f>
        <v>1</v>
      </c>
      <c r="J33" s="50">
        <f>'FY27'!L33</f>
        <v>1</v>
      </c>
      <c r="K33" s="50">
        <f>'FY28'!L33</f>
        <v>1</v>
      </c>
      <c r="L33" s="50">
        <f>'FY29'!L33</f>
        <v>1</v>
      </c>
      <c r="M33" s="50">
        <f>'FY30'!L33</f>
        <v>1</v>
      </c>
      <c r="N33" s="50">
        <f>'FY31'!L33</f>
        <v>1</v>
      </c>
      <c r="P33" s="50">
        <f>'FY26'!R33</f>
        <v>2</v>
      </c>
      <c r="Q33" s="50">
        <f>'FY27'!R33</f>
        <v>2</v>
      </c>
      <c r="R33" s="50">
        <f>'FY28'!R33</f>
        <v>2</v>
      </c>
      <c r="S33" s="50">
        <f>'FY29'!R33</f>
        <v>2</v>
      </c>
      <c r="T33" s="50">
        <f>'FY30'!R33</f>
        <v>2</v>
      </c>
      <c r="U33" s="50">
        <f>'FY31'!R33</f>
        <v>2</v>
      </c>
      <c r="W33" s="50">
        <f>'FY26'!X33</f>
        <v>0</v>
      </c>
      <c r="X33" s="50">
        <f>'FY27'!X33</f>
        <v>0</v>
      </c>
      <c r="Y33" s="50">
        <f>'FY28'!X33</f>
        <v>0</v>
      </c>
      <c r="Z33" s="50">
        <f>'FY29'!X33</f>
        <v>0</v>
      </c>
      <c r="AA33" s="50">
        <f>'FY30'!X33</f>
        <v>0</v>
      </c>
      <c r="AB33" s="50">
        <f>'FY31'!X33</f>
        <v>0</v>
      </c>
      <c r="AC33" s="193"/>
      <c r="AD33" s="50">
        <f>'FY27'!AD33</f>
        <v>0</v>
      </c>
      <c r="AE33" s="50">
        <f>'FY28'!AD33</f>
        <v>0</v>
      </c>
      <c r="AF33" s="50">
        <f>'FY29'!AD33</f>
        <v>0</v>
      </c>
      <c r="AG33" s="50">
        <f>'FY30'!AD33</f>
        <v>0</v>
      </c>
      <c r="AH33" s="50">
        <f>'FY31'!AD33</f>
        <v>0</v>
      </c>
      <c r="AI33" s="193"/>
      <c r="AJ33" s="50">
        <f>'FY27'!AJ33</f>
        <v>0</v>
      </c>
      <c r="AK33" s="50">
        <f>'FY28'!AJ33</f>
        <v>0</v>
      </c>
      <c r="AL33" s="50">
        <f>'FY29'!AJ33</f>
        <v>0</v>
      </c>
      <c r="AM33" s="50">
        <f>'FY30'!AJ33</f>
        <v>0</v>
      </c>
      <c r="AN33" s="50">
        <f>'FY31'!AJ33</f>
        <v>0</v>
      </c>
      <c r="AP33" s="50">
        <f>'FY26'!AD33</f>
        <v>0</v>
      </c>
      <c r="AQ33" s="50">
        <f>'FY27'!AP33</f>
        <v>0</v>
      </c>
      <c r="AR33" s="50">
        <f>'FY28'!AP33</f>
        <v>0</v>
      </c>
      <c r="AS33" s="50">
        <f>'FY29'!AP33</f>
        <v>0</v>
      </c>
      <c r="AT33" s="50">
        <f>'FY30'!AP33</f>
        <v>0</v>
      </c>
      <c r="AU33" s="50">
        <f>'FY31'!AP33</f>
        <v>0</v>
      </c>
      <c r="AW33" s="50">
        <f>'FY26'!AJ33</f>
        <v>4</v>
      </c>
      <c r="AX33" s="50">
        <f>'FY27'!AV33</f>
        <v>4</v>
      </c>
      <c r="AY33" s="50">
        <f>'FY28'!AV33</f>
        <v>4</v>
      </c>
      <c r="AZ33" s="50">
        <f>'FY29'!AV33</f>
        <v>4</v>
      </c>
      <c r="BA33" s="50">
        <f>'FY30'!AV33</f>
        <v>4</v>
      </c>
      <c r="BB33" s="50">
        <f>'FY31'!AV33</f>
        <v>4</v>
      </c>
    </row>
    <row r="34" spans="1:54" x14ac:dyDescent="0.25">
      <c r="A34" s="11" t="s">
        <v>30</v>
      </c>
      <c r="B34" s="50">
        <f>'FY26'!F34</f>
        <v>4</v>
      </c>
      <c r="C34" s="50">
        <f>'FY27'!F34</f>
        <v>4</v>
      </c>
      <c r="D34" s="50">
        <f>'FY28'!F34</f>
        <v>4</v>
      </c>
      <c r="E34" s="50">
        <f>'FY29'!F34</f>
        <v>4</v>
      </c>
      <c r="F34" s="50">
        <f>'FY30'!F34</f>
        <v>4</v>
      </c>
      <c r="G34" s="50">
        <f>'FY31'!F34</f>
        <v>4</v>
      </c>
      <c r="I34" s="50">
        <f>'FY26'!L34</f>
        <v>4</v>
      </c>
      <c r="J34" s="50">
        <f>'FY27'!L34</f>
        <v>4</v>
      </c>
      <c r="K34" s="50">
        <f>'FY28'!L34</f>
        <v>4</v>
      </c>
      <c r="L34" s="50">
        <f>'FY29'!L34</f>
        <v>4</v>
      </c>
      <c r="M34" s="50">
        <f>'FY30'!L34</f>
        <v>4</v>
      </c>
      <c r="N34" s="50">
        <f>'FY31'!L34</f>
        <v>4</v>
      </c>
      <c r="P34" s="50">
        <f>'FY26'!R34</f>
        <v>4</v>
      </c>
      <c r="Q34" s="50">
        <f>'FY27'!R34</f>
        <v>4</v>
      </c>
      <c r="R34" s="50">
        <f>'FY28'!R34</f>
        <v>5</v>
      </c>
      <c r="S34" s="50">
        <f>'FY29'!R34</f>
        <v>5</v>
      </c>
      <c r="T34" s="50">
        <f>'FY30'!R34</f>
        <v>5</v>
      </c>
      <c r="U34" s="50">
        <f>'FY31'!R34</f>
        <v>5</v>
      </c>
      <c r="W34" s="50">
        <f>'FY26'!X34</f>
        <v>0</v>
      </c>
      <c r="X34" s="50">
        <f>'FY27'!X34</f>
        <v>0</v>
      </c>
      <c r="Y34" s="50">
        <f>'FY28'!X34</f>
        <v>0</v>
      </c>
      <c r="Z34" s="50">
        <f>'FY29'!X34</f>
        <v>0</v>
      </c>
      <c r="AA34" s="50">
        <f>'FY30'!X34</f>
        <v>0</v>
      </c>
      <c r="AB34" s="50">
        <f>'FY31'!X34</f>
        <v>0</v>
      </c>
      <c r="AC34" s="193"/>
      <c r="AD34" s="50">
        <f>'FY27'!AD34</f>
        <v>0</v>
      </c>
      <c r="AE34" s="50">
        <f>'FY28'!AD34</f>
        <v>0.5</v>
      </c>
      <c r="AF34" s="50">
        <f>'FY29'!AD34</f>
        <v>2</v>
      </c>
      <c r="AG34" s="50">
        <f>'FY30'!AD34</f>
        <v>2</v>
      </c>
      <c r="AH34" s="50">
        <f>'FY31'!AD34</f>
        <v>3</v>
      </c>
      <c r="AI34" s="193"/>
      <c r="AJ34" s="50">
        <f>'FY27'!AJ34</f>
        <v>0</v>
      </c>
      <c r="AK34" s="50">
        <f>'FY28'!AJ34</f>
        <v>1</v>
      </c>
      <c r="AL34" s="50">
        <f>'FY29'!AJ34</f>
        <v>2</v>
      </c>
      <c r="AM34" s="50">
        <f>'FY30'!AJ34</f>
        <v>2</v>
      </c>
      <c r="AN34" s="50">
        <f>'FY31'!AJ34</f>
        <v>2</v>
      </c>
      <c r="AP34" s="50">
        <f>'FY26'!AD34</f>
        <v>0</v>
      </c>
      <c r="AQ34" s="50">
        <f>'FY27'!AP34</f>
        <v>0</v>
      </c>
      <c r="AR34" s="50">
        <f>'FY28'!AP34</f>
        <v>0</v>
      </c>
      <c r="AS34" s="50">
        <f>'FY29'!AP34</f>
        <v>0</v>
      </c>
      <c r="AT34" s="50">
        <f>'FY30'!AP34</f>
        <v>0</v>
      </c>
      <c r="AU34" s="50">
        <f>'FY31'!AP34</f>
        <v>0</v>
      </c>
      <c r="AW34" s="50">
        <f>'FY26'!AJ34</f>
        <v>12</v>
      </c>
      <c r="AX34" s="50">
        <f>'FY27'!AV34</f>
        <v>12</v>
      </c>
      <c r="AY34" s="50">
        <f>'FY28'!AV34</f>
        <v>14.5</v>
      </c>
      <c r="AZ34" s="50">
        <f>'FY29'!AV34</f>
        <v>17</v>
      </c>
      <c r="BA34" s="50">
        <f>'FY30'!AV34</f>
        <v>17</v>
      </c>
      <c r="BB34" s="50">
        <f>'FY31'!AV34</f>
        <v>18</v>
      </c>
    </row>
    <row r="35" spans="1:54" x14ac:dyDescent="0.25">
      <c r="A35" s="12" t="s">
        <v>31</v>
      </c>
      <c r="B35" s="50">
        <f>'FY26'!F35</f>
        <v>0</v>
      </c>
      <c r="C35" s="50">
        <f>'FY27'!F35</f>
        <v>0</v>
      </c>
      <c r="D35" s="50">
        <f>'FY28'!F35</f>
        <v>0</v>
      </c>
      <c r="E35" s="50">
        <f>'FY29'!F35</f>
        <v>0</v>
      </c>
      <c r="F35" s="50">
        <f>'FY30'!F35</f>
        <v>0</v>
      </c>
      <c r="G35" s="50">
        <f>'FY31'!F35</f>
        <v>0</v>
      </c>
      <c r="I35" s="50">
        <f>'FY26'!L35</f>
        <v>0</v>
      </c>
      <c r="J35" s="50">
        <f>'FY27'!L35</f>
        <v>0</v>
      </c>
      <c r="K35" s="50">
        <f>'FY28'!L35</f>
        <v>0</v>
      </c>
      <c r="L35" s="50">
        <f>'FY29'!L35</f>
        <v>0</v>
      </c>
      <c r="M35" s="50">
        <f>'FY30'!L35</f>
        <v>0</v>
      </c>
      <c r="N35" s="50">
        <f>'FY31'!L35</f>
        <v>0</v>
      </c>
      <c r="P35" s="50">
        <f>'FY26'!R35</f>
        <v>0</v>
      </c>
      <c r="Q35" s="50">
        <f>'FY27'!R35</f>
        <v>0</v>
      </c>
      <c r="R35" s="50">
        <f>'FY28'!R35</f>
        <v>0</v>
      </c>
      <c r="S35" s="50">
        <f>'FY29'!R35</f>
        <v>0</v>
      </c>
      <c r="T35" s="50">
        <f>'FY30'!R35</f>
        <v>0</v>
      </c>
      <c r="U35" s="50">
        <f>'FY31'!R35</f>
        <v>0</v>
      </c>
      <c r="W35" s="50">
        <f>'FY26'!X35</f>
        <v>0</v>
      </c>
      <c r="X35" s="50">
        <f>'FY27'!X35</f>
        <v>0</v>
      </c>
      <c r="Y35" s="50">
        <f>'FY28'!X35</f>
        <v>0</v>
      </c>
      <c r="Z35" s="50">
        <f>'FY29'!X35</f>
        <v>0</v>
      </c>
      <c r="AA35" s="50">
        <f>'FY30'!X35</f>
        <v>0</v>
      </c>
      <c r="AB35" s="50">
        <f>'FY31'!X35</f>
        <v>0</v>
      </c>
      <c r="AC35" s="193"/>
      <c r="AD35" s="50">
        <f>'FY27'!AD35</f>
        <v>0</v>
      </c>
      <c r="AE35" s="50">
        <f>'FY28'!AD35</f>
        <v>0</v>
      </c>
      <c r="AF35" s="50">
        <f>'FY29'!AD35</f>
        <v>0</v>
      </c>
      <c r="AG35" s="50">
        <f>'FY30'!AD35</f>
        <v>0</v>
      </c>
      <c r="AH35" s="50">
        <f>'FY31'!AD35</f>
        <v>0</v>
      </c>
      <c r="AI35" s="193"/>
      <c r="AJ35" s="50">
        <f>'FY27'!AJ35</f>
        <v>0</v>
      </c>
      <c r="AK35" s="50">
        <f>'FY28'!AJ35</f>
        <v>0</v>
      </c>
      <c r="AL35" s="50">
        <f>'FY29'!AJ35</f>
        <v>0</v>
      </c>
      <c r="AM35" s="50">
        <f>'FY30'!AJ35</f>
        <v>0</v>
      </c>
      <c r="AN35" s="50">
        <f>'FY31'!AJ35</f>
        <v>0</v>
      </c>
      <c r="AP35" s="50">
        <f>'FY26'!AD35</f>
        <v>0</v>
      </c>
      <c r="AQ35" s="50">
        <f>'FY27'!AP35</f>
        <v>0</v>
      </c>
      <c r="AR35" s="50">
        <f>'FY28'!AP35</f>
        <v>0</v>
      </c>
      <c r="AS35" s="50">
        <f>'FY29'!AP35</f>
        <v>0</v>
      </c>
      <c r="AT35" s="50">
        <f>'FY30'!AP35</f>
        <v>0</v>
      </c>
      <c r="AU35" s="50">
        <f>'FY31'!AP35</f>
        <v>0</v>
      </c>
      <c r="AW35" s="50">
        <f>'FY26'!AJ35</f>
        <v>0</v>
      </c>
      <c r="AX35" s="50">
        <f>'FY27'!AV35</f>
        <v>0</v>
      </c>
      <c r="AY35" s="50">
        <f>'FY28'!AV35</f>
        <v>0</v>
      </c>
      <c r="AZ35" s="50">
        <f>'FY29'!AV35</f>
        <v>0</v>
      </c>
      <c r="BA35" s="50">
        <f>'FY30'!AV35</f>
        <v>0</v>
      </c>
      <c r="BB35" s="50">
        <f>'FY31'!AV35</f>
        <v>0</v>
      </c>
    </row>
    <row r="36" spans="1:54" x14ac:dyDescent="0.25">
      <c r="A36" s="9" t="s">
        <v>32</v>
      </c>
      <c r="B36" s="52">
        <f>'FY26'!F36</f>
        <v>50</v>
      </c>
      <c r="C36" s="52">
        <f>'FY27'!F36</f>
        <v>50</v>
      </c>
      <c r="D36" s="52">
        <f>'FY28'!F36</f>
        <v>50</v>
      </c>
      <c r="E36" s="52">
        <f>'FY29'!F36</f>
        <v>50</v>
      </c>
      <c r="F36" s="52">
        <f>'FY30'!F36</f>
        <v>50</v>
      </c>
      <c r="G36" s="52">
        <f>'FY31'!F36</f>
        <v>50</v>
      </c>
      <c r="I36" s="52">
        <f>'FY26'!L36</f>
        <v>49</v>
      </c>
      <c r="J36" s="52">
        <f>'FY27'!L36</f>
        <v>49</v>
      </c>
      <c r="K36" s="52">
        <f>'FY28'!L36</f>
        <v>49</v>
      </c>
      <c r="L36" s="52">
        <f>'FY29'!L36</f>
        <v>49</v>
      </c>
      <c r="M36" s="52">
        <f>'FY30'!L36</f>
        <v>49</v>
      </c>
      <c r="N36" s="52">
        <f>'FY31'!L36</f>
        <v>49</v>
      </c>
      <c r="P36" s="52">
        <f>'FY26'!R36</f>
        <v>113</v>
      </c>
      <c r="Q36" s="52">
        <f>'FY27'!R36</f>
        <v>114</v>
      </c>
      <c r="R36" s="52">
        <f>'FY28'!R36</f>
        <v>115</v>
      </c>
      <c r="S36" s="52">
        <f>'FY29'!R36</f>
        <v>115</v>
      </c>
      <c r="T36" s="52">
        <f>'FY30'!R36</f>
        <v>116</v>
      </c>
      <c r="U36" s="52">
        <f>'FY31'!R36</f>
        <v>116</v>
      </c>
      <c r="W36" s="52">
        <f>'FY26'!X36</f>
        <v>24</v>
      </c>
      <c r="X36" s="52">
        <f>'FY27'!X36</f>
        <v>26</v>
      </c>
      <c r="Y36" s="52">
        <f>'FY28'!X36</f>
        <v>26</v>
      </c>
      <c r="Z36" s="52">
        <f>'FY29'!X36</f>
        <v>26</v>
      </c>
      <c r="AA36" s="52">
        <f>'FY30'!X36</f>
        <v>26</v>
      </c>
      <c r="AB36" s="52">
        <f>'FY31'!X36</f>
        <v>26</v>
      </c>
      <c r="AC36" s="197"/>
      <c r="AD36" s="52">
        <f>'FY27'!AD36</f>
        <v>20</v>
      </c>
      <c r="AE36" s="52">
        <f>'FY28'!AD36</f>
        <v>28.5</v>
      </c>
      <c r="AF36" s="52">
        <f>'FY29'!AD36</f>
        <v>41.5</v>
      </c>
      <c r="AG36" s="52">
        <f>'FY30'!AD36</f>
        <v>52</v>
      </c>
      <c r="AH36" s="52">
        <f>'FY31'!AD36</f>
        <v>62</v>
      </c>
      <c r="AI36" s="197"/>
      <c r="AJ36" s="52">
        <f>'FY27'!AJ36</f>
        <v>0</v>
      </c>
      <c r="AK36" s="52">
        <f>'FY28'!AJ36</f>
        <v>36</v>
      </c>
      <c r="AL36" s="52">
        <f>'FY29'!AJ36</f>
        <v>42.5</v>
      </c>
      <c r="AM36" s="52">
        <f>'FY30'!AJ36</f>
        <v>48</v>
      </c>
      <c r="AN36" s="52">
        <f>'FY31'!AJ36</f>
        <v>47</v>
      </c>
      <c r="AP36" s="52">
        <f>'FY26'!AD36</f>
        <v>0</v>
      </c>
      <c r="AQ36" s="52">
        <f>'FY27'!AP36</f>
        <v>0</v>
      </c>
      <c r="AR36" s="52">
        <f>'FY28'!AP36</f>
        <v>0</v>
      </c>
      <c r="AS36" s="52">
        <f>'FY29'!AP36</f>
        <v>0</v>
      </c>
      <c r="AT36" s="52">
        <f>'FY30'!AP36</f>
        <v>0</v>
      </c>
      <c r="AU36" s="52">
        <f>'FY31'!AP36</f>
        <v>0</v>
      </c>
      <c r="AW36" s="52">
        <f>'FY26'!AJ36</f>
        <v>236</v>
      </c>
      <c r="AX36" s="52">
        <f>'FY27'!AV36</f>
        <v>259</v>
      </c>
      <c r="AY36" s="52">
        <f>'FY28'!AV36</f>
        <v>304.5</v>
      </c>
      <c r="AZ36" s="52">
        <f>'FY29'!AV36</f>
        <v>324</v>
      </c>
      <c r="BA36" s="52">
        <f>'FY30'!AV36</f>
        <v>341</v>
      </c>
      <c r="BB36" s="52">
        <f>'FY31'!AV36</f>
        <v>350</v>
      </c>
    </row>
    <row r="37" spans="1:54" x14ac:dyDescent="0.25">
      <c r="A37" s="13"/>
      <c r="B37" s="45">
        <f>'FY26'!F37</f>
        <v>0</v>
      </c>
      <c r="C37" s="45">
        <f>'FY27'!F37</f>
        <v>0</v>
      </c>
      <c r="D37" s="45">
        <f>'FY28'!F37</f>
        <v>0</v>
      </c>
      <c r="E37" s="45">
        <f>'FY29'!F37</f>
        <v>0</v>
      </c>
      <c r="F37" s="45">
        <f>'FY30'!F37</f>
        <v>0</v>
      </c>
      <c r="G37" s="45">
        <f>'FY31'!F37</f>
        <v>0</v>
      </c>
      <c r="I37" s="45">
        <f>'FY26'!L37</f>
        <v>0</v>
      </c>
      <c r="J37" s="45">
        <f>'FY27'!L37</f>
        <v>0</v>
      </c>
      <c r="K37" s="45">
        <f>'FY28'!L37</f>
        <v>0</v>
      </c>
      <c r="L37" s="45">
        <f>'FY29'!L37</f>
        <v>0</v>
      </c>
      <c r="M37" s="45">
        <f>'FY30'!L37</f>
        <v>0</v>
      </c>
      <c r="N37" s="45">
        <f>'FY31'!L37</f>
        <v>0</v>
      </c>
      <c r="P37" s="45">
        <f>'FY26'!R37</f>
        <v>0</v>
      </c>
      <c r="Q37" s="45">
        <f>'FY27'!R37</f>
        <v>0</v>
      </c>
      <c r="R37" s="45">
        <f>'FY28'!R37</f>
        <v>0</v>
      </c>
      <c r="S37" s="45">
        <f>'FY29'!R37</f>
        <v>0</v>
      </c>
      <c r="T37" s="45">
        <f>'FY30'!R37</f>
        <v>0</v>
      </c>
      <c r="U37" s="45">
        <f>'FY31'!R37</f>
        <v>0</v>
      </c>
      <c r="W37" s="45">
        <f>'FY26'!X37</f>
        <v>0</v>
      </c>
      <c r="X37" s="45">
        <f>'FY27'!X37</f>
        <v>0</v>
      </c>
      <c r="Y37" s="45">
        <f>'FY28'!X37</f>
        <v>0</v>
      </c>
      <c r="Z37" s="45">
        <f>'FY29'!X37</f>
        <v>0</v>
      </c>
      <c r="AA37" s="45">
        <f>'FY30'!X37</f>
        <v>0</v>
      </c>
      <c r="AB37" s="45">
        <f>'FY31'!X37</f>
        <v>0</v>
      </c>
      <c r="AC37" s="196"/>
      <c r="AD37" s="45">
        <f>'FY27'!AD37</f>
        <v>0</v>
      </c>
      <c r="AE37" s="45">
        <f>'FY28'!AD37</f>
        <v>0</v>
      </c>
      <c r="AF37" s="45">
        <f>'FY29'!AD37</f>
        <v>0</v>
      </c>
      <c r="AG37" s="45">
        <f>'FY30'!AD37</f>
        <v>0</v>
      </c>
      <c r="AH37" s="45">
        <f>'FY31'!AD37</f>
        <v>0</v>
      </c>
      <c r="AI37" s="196"/>
      <c r="AJ37" s="45">
        <f>'FY27'!AJ37</f>
        <v>0</v>
      </c>
      <c r="AK37" s="45">
        <f>'FY28'!AJ37</f>
        <v>0</v>
      </c>
      <c r="AL37" s="45">
        <f>'FY29'!AJ37</f>
        <v>0</v>
      </c>
      <c r="AM37" s="45">
        <f>'FY30'!AJ37</f>
        <v>0</v>
      </c>
      <c r="AN37" s="45">
        <f>'FY31'!AJ37</f>
        <v>0</v>
      </c>
      <c r="AP37" s="45">
        <f>'FY26'!AD37</f>
        <v>0</v>
      </c>
      <c r="AQ37" s="45">
        <f>'FY27'!AP37</f>
        <v>0</v>
      </c>
      <c r="AR37" s="45">
        <f>'FY28'!AP37</f>
        <v>0</v>
      </c>
      <c r="AS37" s="45">
        <f>'FY29'!AP37</f>
        <v>0</v>
      </c>
      <c r="AT37" s="45">
        <f>'FY30'!AP37</f>
        <v>0</v>
      </c>
      <c r="AU37" s="45">
        <f>'FY31'!AP37</f>
        <v>0</v>
      </c>
      <c r="AW37" s="45">
        <f>'FY26'!AJ37</f>
        <v>0</v>
      </c>
      <c r="AX37" s="45">
        <f>'FY27'!AV37</f>
        <v>0</v>
      </c>
      <c r="AY37" s="45">
        <f>'FY28'!AV37</f>
        <v>0</v>
      </c>
      <c r="AZ37" s="45">
        <f>'FY29'!AV37</f>
        <v>0</v>
      </c>
      <c r="BA37" s="45">
        <f>'FY30'!AV37</f>
        <v>0</v>
      </c>
      <c r="BB37" s="45">
        <f>'FY31'!AV37</f>
        <v>0</v>
      </c>
    </row>
    <row r="38" spans="1:54" x14ac:dyDescent="0.25">
      <c r="A38" s="9" t="s">
        <v>33</v>
      </c>
      <c r="B38" s="46" t="str">
        <f>'FY26'!F38</f>
        <v>FY26- Mtn</v>
      </c>
      <c r="C38" s="46" t="str">
        <f>'FY27'!F38</f>
        <v>FY27- Mtn</v>
      </c>
      <c r="D38" s="46" t="str">
        <f>'FY28'!F38</f>
        <v>FY28- Mtn</v>
      </c>
      <c r="E38" s="46" t="str">
        <f>'FY29'!F38</f>
        <v>FY29- Mtn</v>
      </c>
      <c r="F38" s="46" t="str">
        <f>'FY30'!F38</f>
        <v>FY30- Mtn</v>
      </c>
      <c r="G38" s="46" t="str">
        <f>'FY31'!F38</f>
        <v>FY31- Mtn</v>
      </c>
      <c r="I38" s="46" t="str">
        <f>'FY26'!L38</f>
        <v>FY26- Bon</v>
      </c>
      <c r="J38" s="46" t="str">
        <f>'FY27'!L38</f>
        <v>FY27- Bon</v>
      </c>
      <c r="K38" s="46" t="str">
        <f>'FY28'!L38</f>
        <v>FY28- Bon</v>
      </c>
      <c r="L38" s="46" t="str">
        <f>'FY29'!L38</f>
        <v>FY29- Bon</v>
      </c>
      <c r="M38" s="46" t="str">
        <f>'FY30'!L38</f>
        <v>FY30- Bon</v>
      </c>
      <c r="N38" s="46" t="str">
        <f>'FY31'!L38</f>
        <v>FY31- Bon</v>
      </c>
      <c r="P38" s="46" t="str">
        <f>'FY26'!R38</f>
        <v>FY26- East</v>
      </c>
      <c r="Q38" s="46" t="str">
        <f>'FY27'!R38</f>
        <v>FY27- East</v>
      </c>
      <c r="R38" s="46" t="str">
        <f>'FY28'!R38</f>
        <v>FY28- East</v>
      </c>
      <c r="S38" s="46" t="str">
        <f>'FY29'!R38</f>
        <v>FY29- East</v>
      </c>
      <c r="T38" s="46" t="str">
        <f>'FY30'!R38</f>
        <v>FY30- East</v>
      </c>
      <c r="U38" s="46" t="str">
        <f>'FY31'!R38</f>
        <v>FY31- East</v>
      </c>
      <c r="W38" s="46" t="str">
        <f>'FY26'!X38</f>
        <v>FY26- Cactus</v>
      </c>
      <c r="X38" s="46" t="str">
        <f>'FY27'!X38</f>
        <v>FY27- Cactus</v>
      </c>
      <c r="Y38" s="46" t="str">
        <f>'FY28'!X38</f>
        <v>FY28- Cactus</v>
      </c>
      <c r="Z38" s="46" t="str">
        <f>'FY29'!X38</f>
        <v>FY29- Cactus</v>
      </c>
      <c r="AA38" s="46" t="str">
        <f>'FY30'!X38</f>
        <v>FY30- Cactus</v>
      </c>
      <c r="AB38" s="46" t="str">
        <f>'FY31'!X38</f>
        <v>FY31- Cactus</v>
      </c>
      <c r="AC38" s="195"/>
      <c r="AD38" s="46" t="str">
        <f>'FY27'!AD38</f>
        <v>FY27- Sahara</v>
      </c>
      <c r="AE38" s="46" t="str">
        <f>'FY28'!AD38</f>
        <v>FY28- Sahara</v>
      </c>
      <c r="AF38" s="46" t="str">
        <f>'FY29'!AD38</f>
        <v>FY29- Sahara</v>
      </c>
      <c r="AG38" s="46" t="str">
        <f>'FY30'!AD38</f>
        <v>FY30- Sahara</v>
      </c>
      <c r="AH38" s="46" t="str">
        <f>'FY31'!AD38</f>
        <v>FY31- Sahara</v>
      </c>
      <c r="AI38" s="195"/>
      <c r="AJ38" s="46" t="str">
        <f>'FY27'!AJ38</f>
        <v>FY27- VV</v>
      </c>
      <c r="AK38" s="46" t="str">
        <f>'FY28'!AJ38</f>
        <v>FY27- VV</v>
      </c>
      <c r="AL38" s="46" t="str">
        <f>'FY29'!AJ38</f>
        <v>FY29- VV</v>
      </c>
      <c r="AM38" s="46" t="str">
        <f>'FY30'!AJ38</f>
        <v>FY30- VV</v>
      </c>
      <c r="AN38" s="46" t="str">
        <f>'FY31'!AJ38</f>
        <v>FY31- VV</v>
      </c>
      <c r="AP38" s="46" t="str">
        <f>'FY26'!AD38</f>
        <v>FY26 - Central</v>
      </c>
      <c r="AQ38" s="46" t="str">
        <f>'FY27'!AP38</f>
        <v>FY27 - Central</v>
      </c>
      <c r="AR38" s="46" t="str">
        <f>'FY28'!AP38</f>
        <v>FY28 - Central</v>
      </c>
      <c r="AS38" s="46" t="str">
        <f>'FY29'!AP38</f>
        <v>FY29 - Central</v>
      </c>
      <c r="AT38" s="46" t="str">
        <f>'FY30'!AP38</f>
        <v>FY30 - Central</v>
      </c>
      <c r="AU38" s="46" t="str">
        <f>'FY31'!AP38</f>
        <v>FY31 - Central</v>
      </c>
      <c r="AW38" s="46" t="str">
        <f>'FY26'!AJ38</f>
        <v>FY26- Sys</v>
      </c>
      <c r="AX38" s="46" t="str">
        <f>'FY27'!AV38</f>
        <v>FY27- Sys</v>
      </c>
      <c r="AY38" s="46" t="str">
        <f>'FY28'!AV38</f>
        <v>FY28- Sys</v>
      </c>
      <c r="AZ38" s="46" t="str">
        <f>'FY29'!AV38</f>
        <v>FY29- Sys</v>
      </c>
      <c r="BA38" s="46" t="str">
        <f>'FY30'!AV38</f>
        <v>FY29- Sys</v>
      </c>
      <c r="BB38" s="46" t="str">
        <f>'FY31'!AV38</f>
        <v>FY31- Sys</v>
      </c>
    </row>
    <row r="39" spans="1:54" x14ac:dyDescent="0.25">
      <c r="A39" s="11" t="s">
        <v>34</v>
      </c>
      <c r="B39" s="51">
        <f>'FY26'!F39</f>
        <v>1</v>
      </c>
      <c r="C39" s="51">
        <f>'FY27'!F39</f>
        <v>1</v>
      </c>
      <c r="D39" s="51">
        <f>'FY28'!F39</f>
        <v>1</v>
      </c>
      <c r="E39" s="51">
        <f>'FY29'!F39</f>
        <v>1</v>
      </c>
      <c r="F39" s="51">
        <f>'FY30'!F39</f>
        <v>1</v>
      </c>
      <c r="G39" s="51">
        <f>'FY31'!F39</f>
        <v>1</v>
      </c>
      <c r="I39" s="51">
        <f>'FY26'!L39</f>
        <v>1</v>
      </c>
      <c r="J39" s="51">
        <f>'FY27'!L39</f>
        <v>1</v>
      </c>
      <c r="K39" s="51">
        <f>'FY28'!L39</f>
        <v>1</v>
      </c>
      <c r="L39" s="51">
        <f>'FY29'!L39</f>
        <v>1</v>
      </c>
      <c r="M39" s="51">
        <f>'FY30'!L39</f>
        <v>1</v>
      </c>
      <c r="N39" s="51">
        <f>'FY31'!L39</f>
        <v>1</v>
      </c>
      <c r="P39" s="51">
        <f>'FY26'!R39</f>
        <v>1</v>
      </c>
      <c r="Q39" s="51">
        <f>'FY27'!R39</f>
        <v>1</v>
      </c>
      <c r="R39" s="51">
        <f>'FY28'!R39</f>
        <v>1</v>
      </c>
      <c r="S39" s="51">
        <f>'FY29'!R39</f>
        <v>1</v>
      </c>
      <c r="T39" s="51">
        <f>'FY30'!R39</f>
        <v>1</v>
      </c>
      <c r="U39" s="51">
        <f>'FY31'!R39</f>
        <v>1</v>
      </c>
      <c r="W39" s="51">
        <f>'FY26'!X39</f>
        <v>0</v>
      </c>
      <c r="X39" s="51">
        <f>'FY27'!X39</f>
        <v>1</v>
      </c>
      <c r="Y39" s="51">
        <f>'FY28'!X39</f>
        <v>1</v>
      </c>
      <c r="Z39" s="51">
        <f>'FY29'!X39</f>
        <v>1</v>
      </c>
      <c r="AA39" s="51">
        <f>'FY30'!X39</f>
        <v>1</v>
      </c>
      <c r="AB39" s="51">
        <f>'FY31'!X39</f>
        <v>1</v>
      </c>
      <c r="AC39" s="193"/>
      <c r="AD39" s="51">
        <f>'FY27'!AD39</f>
        <v>1</v>
      </c>
      <c r="AE39" s="51">
        <f>'FY28'!AD39</f>
        <v>1</v>
      </c>
      <c r="AF39" s="51">
        <f>'FY29'!AD39</f>
        <v>1</v>
      </c>
      <c r="AG39" s="51">
        <f>'FY30'!AD39</f>
        <v>1</v>
      </c>
      <c r="AH39" s="51">
        <f>'FY31'!AD39</f>
        <v>1</v>
      </c>
      <c r="AI39" s="193"/>
      <c r="AJ39" s="51">
        <f>'FY27'!AJ39</f>
        <v>0</v>
      </c>
      <c r="AK39" s="51">
        <f>'FY28'!AJ39</f>
        <v>1</v>
      </c>
      <c r="AL39" s="51">
        <f>'FY29'!AJ39</f>
        <v>1</v>
      </c>
      <c r="AM39" s="51">
        <f>'FY30'!AJ39</f>
        <v>1</v>
      </c>
      <c r="AN39" s="51">
        <f>'FY31'!AJ39</f>
        <v>1</v>
      </c>
      <c r="AP39" s="51">
        <f>'FY26'!AD39</f>
        <v>0</v>
      </c>
      <c r="AQ39" s="51">
        <f>'FY27'!AP39</f>
        <v>0</v>
      </c>
      <c r="AR39" s="51">
        <f>'FY28'!AP39</f>
        <v>0</v>
      </c>
      <c r="AS39" s="51">
        <f>'FY29'!AP39</f>
        <v>0</v>
      </c>
      <c r="AT39" s="51">
        <f>'FY30'!AP39</f>
        <v>0</v>
      </c>
      <c r="AU39" s="51">
        <f>'FY31'!AP39</f>
        <v>0</v>
      </c>
      <c r="AW39" s="51">
        <f>'FY26'!AJ39</f>
        <v>3</v>
      </c>
      <c r="AX39" s="51">
        <f>'FY27'!AV39</f>
        <v>5</v>
      </c>
      <c r="AY39" s="51">
        <f>'FY28'!AV39</f>
        <v>6</v>
      </c>
      <c r="AZ39" s="51">
        <f>'FY29'!AV39</f>
        <v>6</v>
      </c>
      <c r="BA39" s="51">
        <f>'FY30'!AV39</f>
        <v>6</v>
      </c>
      <c r="BB39" s="51">
        <f>'FY31'!AV39</f>
        <v>6</v>
      </c>
    </row>
    <row r="40" spans="1:54" x14ac:dyDescent="0.25">
      <c r="A40" s="11" t="s">
        <v>35</v>
      </c>
      <c r="B40" s="51">
        <f>'FY26'!F40</f>
        <v>3</v>
      </c>
      <c r="C40" s="51">
        <f>'FY27'!F40</f>
        <v>3</v>
      </c>
      <c r="D40" s="51">
        <f>'FY28'!F40</f>
        <v>3</v>
      </c>
      <c r="E40" s="51">
        <f>'FY29'!F40</f>
        <v>3</v>
      </c>
      <c r="F40" s="51">
        <f>'FY30'!F40</f>
        <v>3</v>
      </c>
      <c r="G40" s="51">
        <f>'FY31'!F40</f>
        <v>3</v>
      </c>
      <c r="I40" s="51">
        <f>'FY26'!L40</f>
        <v>4</v>
      </c>
      <c r="J40" s="51">
        <f>'FY27'!L40</f>
        <v>4</v>
      </c>
      <c r="K40" s="51">
        <f>'FY28'!L40</f>
        <v>4</v>
      </c>
      <c r="L40" s="51">
        <f>'FY29'!L40</f>
        <v>4</v>
      </c>
      <c r="M40" s="51">
        <f>'FY30'!L40</f>
        <v>4</v>
      </c>
      <c r="N40" s="51">
        <f>'FY31'!L40</f>
        <v>4</v>
      </c>
      <c r="P40" s="51">
        <f>'FY26'!R40</f>
        <v>5</v>
      </c>
      <c r="Q40" s="51">
        <f>'FY27'!R40</f>
        <v>5</v>
      </c>
      <c r="R40" s="51">
        <f>'FY28'!R40</f>
        <v>5</v>
      </c>
      <c r="S40" s="51">
        <f>'FY29'!R40</f>
        <v>5</v>
      </c>
      <c r="T40" s="51">
        <f>'FY30'!R40</f>
        <v>5</v>
      </c>
      <c r="U40" s="51">
        <f>'FY31'!R40</f>
        <v>5</v>
      </c>
      <c r="W40" s="51">
        <f>'FY26'!X40</f>
        <v>1</v>
      </c>
      <c r="X40" s="51">
        <f>'FY27'!X40</f>
        <v>0</v>
      </c>
      <c r="Y40" s="51">
        <f>'FY28'!X40</f>
        <v>0</v>
      </c>
      <c r="Z40" s="51">
        <f>'FY29'!X40</f>
        <v>0</v>
      </c>
      <c r="AA40" s="51">
        <f>'FY30'!X40</f>
        <v>0</v>
      </c>
      <c r="AB40" s="51">
        <f>'FY31'!X40</f>
        <v>0</v>
      </c>
      <c r="AC40" s="193"/>
      <c r="AD40" s="51">
        <f>'FY27'!AD40</f>
        <v>0</v>
      </c>
      <c r="AE40" s="51">
        <f>'FY28'!AD40</f>
        <v>1</v>
      </c>
      <c r="AF40" s="51">
        <f>'FY29'!AD40</f>
        <v>2</v>
      </c>
      <c r="AG40" s="51">
        <f>'FY30'!AD40</f>
        <v>2</v>
      </c>
      <c r="AH40" s="51">
        <f>'FY31'!AD40</f>
        <v>3</v>
      </c>
      <c r="AI40" s="193"/>
      <c r="AJ40" s="51">
        <f>'FY27'!AJ40</f>
        <v>0</v>
      </c>
      <c r="AK40" s="51">
        <f>'FY28'!AJ40</f>
        <v>1</v>
      </c>
      <c r="AL40" s="51">
        <f>'FY29'!AJ40</f>
        <v>2</v>
      </c>
      <c r="AM40" s="51">
        <f>'FY30'!AJ40</f>
        <v>3</v>
      </c>
      <c r="AN40" s="51">
        <f>'FY31'!AJ40</f>
        <v>3</v>
      </c>
      <c r="AP40" s="51">
        <f>'FY26'!AD40</f>
        <v>1</v>
      </c>
      <c r="AQ40" s="51">
        <f>'FY27'!AP40</f>
        <v>1</v>
      </c>
      <c r="AR40" s="51">
        <f>'FY28'!AP40</f>
        <v>1</v>
      </c>
      <c r="AS40" s="51">
        <f>'FY29'!AP40</f>
        <v>1</v>
      </c>
      <c r="AT40" s="51">
        <f>'FY30'!AP40</f>
        <v>1</v>
      </c>
      <c r="AU40" s="51">
        <f>'FY31'!AP40</f>
        <v>1</v>
      </c>
      <c r="AW40" s="51">
        <f>'FY26'!AJ40</f>
        <v>14</v>
      </c>
      <c r="AX40" s="51">
        <f>'FY27'!AV40</f>
        <v>13</v>
      </c>
      <c r="AY40" s="51">
        <f>'FY28'!AV40</f>
        <v>15</v>
      </c>
      <c r="AZ40" s="51">
        <f>'FY29'!AV40</f>
        <v>17</v>
      </c>
      <c r="BA40" s="51">
        <f>'FY30'!AV40</f>
        <v>18</v>
      </c>
      <c r="BB40" s="51">
        <f>'FY31'!AV40</f>
        <v>19</v>
      </c>
    </row>
    <row r="41" spans="1:54" x14ac:dyDescent="0.25">
      <c r="A41" s="14" t="s">
        <v>36</v>
      </c>
      <c r="B41" s="51">
        <f>'FY26'!F41</f>
        <v>1</v>
      </c>
      <c r="C41" s="51">
        <f>'FY27'!F41</f>
        <v>1</v>
      </c>
      <c r="D41" s="51">
        <f>'FY28'!F41</f>
        <v>1</v>
      </c>
      <c r="E41" s="51">
        <f>'FY29'!F41</f>
        <v>1</v>
      </c>
      <c r="F41" s="51">
        <f>'FY30'!F41</f>
        <v>1</v>
      </c>
      <c r="G41" s="51">
        <f>'FY31'!F41</f>
        <v>1</v>
      </c>
      <c r="I41" s="51">
        <f>'FY26'!L41</f>
        <v>1</v>
      </c>
      <c r="J41" s="51">
        <f>'FY27'!L41</f>
        <v>1</v>
      </c>
      <c r="K41" s="51">
        <f>'FY28'!L41</f>
        <v>1</v>
      </c>
      <c r="L41" s="51">
        <f>'FY29'!L41</f>
        <v>1</v>
      </c>
      <c r="M41" s="51">
        <f>'FY30'!L41</f>
        <v>1</v>
      </c>
      <c r="N41" s="51">
        <f>'FY31'!L41</f>
        <v>1</v>
      </c>
      <c r="P41" s="51">
        <f>'FY26'!R41</f>
        <v>1</v>
      </c>
      <c r="Q41" s="51">
        <f>'FY27'!R41</f>
        <v>1</v>
      </c>
      <c r="R41" s="51">
        <f>'FY28'!R41</f>
        <v>1</v>
      </c>
      <c r="S41" s="51">
        <f>'FY29'!R41</f>
        <v>1</v>
      </c>
      <c r="T41" s="51">
        <f>'FY30'!R41</f>
        <v>1</v>
      </c>
      <c r="U41" s="51">
        <f>'FY31'!R41</f>
        <v>1</v>
      </c>
      <c r="W41" s="51">
        <f>'FY26'!X41</f>
        <v>0</v>
      </c>
      <c r="X41" s="51">
        <f>'FY27'!X41</f>
        <v>0</v>
      </c>
      <c r="Y41" s="51">
        <f>'FY28'!X41</f>
        <v>0</v>
      </c>
      <c r="Z41" s="51">
        <f>'FY29'!X41</f>
        <v>0</v>
      </c>
      <c r="AA41" s="51">
        <f>'FY30'!X41</f>
        <v>0</v>
      </c>
      <c r="AB41" s="51">
        <f>'FY31'!X41</f>
        <v>0</v>
      </c>
      <c r="AC41" s="193"/>
      <c r="AD41" s="51">
        <f>'FY27'!AD41</f>
        <v>0</v>
      </c>
      <c r="AE41" s="51">
        <f>'FY28'!AD41</f>
        <v>0</v>
      </c>
      <c r="AF41" s="51">
        <f>'FY29'!AD41</f>
        <v>0</v>
      </c>
      <c r="AG41" s="51">
        <f>'FY30'!AD41</f>
        <v>0</v>
      </c>
      <c r="AH41" s="51">
        <f>'FY31'!AD41</f>
        <v>0</v>
      </c>
      <c r="AI41" s="193"/>
      <c r="AJ41" s="51">
        <f>'FY27'!AJ41</f>
        <v>0</v>
      </c>
      <c r="AK41" s="51">
        <f>'FY28'!AJ41</f>
        <v>1</v>
      </c>
      <c r="AL41" s="51">
        <f>'FY29'!AJ41</f>
        <v>1</v>
      </c>
      <c r="AM41" s="51">
        <f>'FY30'!AJ41</f>
        <v>1</v>
      </c>
      <c r="AN41" s="51">
        <f>'FY31'!AJ41</f>
        <v>1</v>
      </c>
      <c r="AP41" s="51">
        <f>'FY26'!AD41</f>
        <v>2</v>
      </c>
      <c r="AQ41" s="51">
        <f>'FY27'!AP41</f>
        <v>2</v>
      </c>
      <c r="AR41" s="51">
        <f>'FY28'!AP41</f>
        <v>2</v>
      </c>
      <c r="AS41" s="51">
        <f>'FY29'!AP41</f>
        <v>2</v>
      </c>
      <c r="AT41" s="51">
        <f>'FY30'!AP41</f>
        <v>2</v>
      </c>
      <c r="AU41" s="51">
        <f>'FY31'!AP41</f>
        <v>2</v>
      </c>
      <c r="AW41" s="51">
        <f>'FY26'!AJ41</f>
        <v>5</v>
      </c>
      <c r="AX41" s="51">
        <f>'FY27'!AV41</f>
        <v>5</v>
      </c>
      <c r="AY41" s="51">
        <f>'FY28'!AV41</f>
        <v>6</v>
      </c>
      <c r="AZ41" s="51">
        <f>'FY29'!AV41</f>
        <v>6</v>
      </c>
      <c r="BA41" s="51">
        <f>'FY30'!AV41</f>
        <v>6</v>
      </c>
      <c r="BB41" s="51">
        <f>'FY31'!AV41</f>
        <v>6</v>
      </c>
    </row>
    <row r="42" spans="1:54" x14ac:dyDescent="0.25">
      <c r="A42" s="11" t="s">
        <v>37</v>
      </c>
      <c r="B42" s="51">
        <f>'FY26'!F42</f>
        <v>0</v>
      </c>
      <c r="C42" s="51">
        <f>'FY27'!F42</f>
        <v>0</v>
      </c>
      <c r="D42" s="51">
        <f>'FY28'!F42</f>
        <v>0</v>
      </c>
      <c r="E42" s="51">
        <f>'FY29'!F42</f>
        <v>0</v>
      </c>
      <c r="F42" s="51">
        <f>'FY30'!F42</f>
        <v>0</v>
      </c>
      <c r="G42" s="51">
        <f>'FY31'!F42</f>
        <v>0</v>
      </c>
      <c r="I42" s="51">
        <f>'FY26'!L42</f>
        <v>0</v>
      </c>
      <c r="J42" s="51">
        <f>'FY27'!L42</f>
        <v>0</v>
      </c>
      <c r="K42" s="51">
        <f>'FY28'!L42</f>
        <v>0</v>
      </c>
      <c r="L42" s="51">
        <f>'FY29'!L42</f>
        <v>0</v>
      </c>
      <c r="M42" s="51">
        <f>'FY30'!L42</f>
        <v>0</v>
      </c>
      <c r="N42" s="51">
        <f>'FY31'!L42</f>
        <v>0</v>
      </c>
      <c r="P42" s="51">
        <f>'FY26'!R42</f>
        <v>0</v>
      </c>
      <c r="Q42" s="51">
        <f>'FY27'!R42</f>
        <v>0</v>
      </c>
      <c r="R42" s="51">
        <f>'FY28'!R42</f>
        <v>0</v>
      </c>
      <c r="S42" s="51">
        <f>'FY29'!R42</f>
        <v>0</v>
      </c>
      <c r="T42" s="51">
        <f>'FY30'!R42</f>
        <v>0</v>
      </c>
      <c r="U42" s="51">
        <f>'FY31'!R42</f>
        <v>0</v>
      </c>
      <c r="W42" s="51">
        <f>'FY26'!X42</f>
        <v>0</v>
      </c>
      <c r="X42" s="51">
        <f>'FY27'!X42</f>
        <v>0</v>
      </c>
      <c r="Y42" s="51">
        <f>'FY28'!X42</f>
        <v>0</v>
      </c>
      <c r="Z42" s="51">
        <f>'FY29'!X42</f>
        <v>0</v>
      </c>
      <c r="AA42" s="51">
        <f>'FY30'!X42</f>
        <v>0</v>
      </c>
      <c r="AB42" s="51">
        <f>'FY31'!X42</f>
        <v>0</v>
      </c>
      <c r="AC42" s="193"/>
      <c r="AD42" s="51">
        <f>'FY27'!AD42</f>
        <v>0</v>
      </c>
      <c r="AE42" s="51">
        <f>'FY28'!AD42</f>
        <v>0</v>
      </c>
      <c r="AF42" s="51">
        <f>'FY29'!AD42</f>
        <v>0</v>
      </c>
      <c r="AG42" s="51">
        <f>'FY30'!AD42</f>
        <v>0</v>
      </c>
      <c r="AH42" s="51">
        <f>'FY31'!AD42</f>
        <v>0</v>
      </c>
      <c r="AI42" s="193"/>
      <c r="AJ42" s="51">
        <f>'FY27'!AJ42</f>
        <v>0</v>
      </c>
      <c r="AK42" s="51">
        <f>'FY28'!AJ42</f>
        <v>0</v>
      </c>
      <c r="AL42" s="51">
        <f>'FY29'!AJ42</f>
        <v>0</v>
      </c>
      <c r="AM42" s="51">
        <f>'FY30'!AJ42</f>
        <v>0</v>
      </c>
      <c r="AN42" s="51">
        <f>'FY31'!AJ42</f>
        <v>0</v>
      </c>
      <c r="AP42" s="51">
        <f>'FY26'!AD42</f>
        <v>0</v>
      </c>
      <c r="AQ42" s="51">
        <f>'FY27'!AP42</f>
        <v>0</v>
      </c>
      <c r="AR42" s="51">
        <f>'FY28'!AP42</f>
        <v>0</v>
      </c>
      <c r="AS42" s="51">
        <f>'FY29'!AP42</f>
        <v>0</v>
      </c>
      <c r="AT42" s="51">
        <f>'FY30'!AP42</f>
        <v>0</v>
      </c>
      <c r="AU42" s="51">
        <f>'FY31'!AP42</f>
        <v>0</v>
      </c>
      <c r="AW42" s="51">
        <f>'FY26'!AJ42</f>
        <v>0</v>
      </c>
      <c r="AX42" s="51">
        <f>'FY27'!AV42</f>
        <v>0</v>
      </c>
      <c r="AY42" s="51">
        <f>'FY28'!AV42</f>
        <v>0</v>
      </c>
      <c r="AZ42" s="51">
        <f>'FY29'!AV42</f>
        <v>0</v>
      </c>
      <c r="BA42" s="51">
        <f>'FY30'!AV42</f>
        <v>0</v>
      </c>
      <c r="BB42" s="51">
        <f>'FY31'!AV42</f>
        <v>0</v>
      </c>
    </row>
    <row r="43" spans="1:54" x14ac:dyDescent="0.25">
      <c r="A43" s="11" t="s">
        <v>38</v>
      </c>
      <c r="B43" s="51">
        <f>'FY26'!F43</f>
        <v>2</v>
      </c>
      <c r="C43" s="51">
        <f>'FY27'!F43</f>
        <v>2</v>
      </c>
      <c r="D43" s="51">
        <f>'FY28'!F43</f>
        <v>2</v>
      </c>
      <c r="E43" s="51">
        <f>'FY29'!F43</f>
        <v>2</v>
      </c>
      <c r="F43" s="51">
        <f>'FY30'!F43</f>
        <v>2</v>
      </c>
      <c r="G43" s="51">
        <f>'FY31'!F43</f>
        <v>2</v>
      </c>
      <c r="I43" s="51">
        <f>'FY26'!L43</f>
        <v>1.5</v>
      </c>
      <c r="J43" s="51">
        <f>'FY27'!L43</f>
        <v>1.5</v>
      </c>
      <c r="K43" s="51">
        <f>'FY28'!L43</f>
        <v>1.5</v>
      </c>
      <c r="L43" s="51">
        <f>'FY29'!L43</f>
        <v>1.5</v>
      </c>
      <c r="M43" s="51">
        <f>'FY30'!L43</f>
        <v>1.5</v>
      </c>
      <c r="N43" s="51">
        <f>'FY31'!L43</f>
        <v>1.5</v>
      </c>
      <c r="P43" s="51">
        <f>'FY26'!R43</f>
        <v>4</v>
      </c>
      <c r="Q43" s="51">
        <f>'FY27'!R43</f>
        <v>4</v>
      </c>
      <c r="R43" s="51">
        <f>'FY28'!R43</f>
        <v>4</v>
      </c>
      <c r="S43" s="51">
        <f>'FY29'!R43</f>
        <v>4</v>
      </c>
      <c r="T43" s="51">
        <f>'FY30'!R43</f>
        <v>4</v>
      </c>
      <c r="U43" s="51">
        <f>'FY31'!R43</f>
        <v>4</v>
      </c>
      <c r="W43" s="51">
        <f>'FY26'!X43</f>
        <v>1</v>
      </c>
      <c r="X43" s="51">
        <f>'FY27'!X43</f>
        <v>1</v>
      </c>
      <c r="Y43" s="51">
        <f>'FY28'!X43</f>
        <v>1</v>
      </c>
      <c r="Z43" s="51">
        <f>'FY29'!X43</f>
        <v>1</v>
      </c>
      <c r="AA43" s="51">
        <f>'FY30'!X43</f>
        <v>1</v>
      </c>
      <c r="AB43" s="51">
        <f>'FY31'!X43</f>
        <v>1</v>
      </c>
      <c r="AC43" s="193"/>
      <c r="AD43" s="51">
        <f>'FY27'!AD43</f>
        <v>1</v>
      </c>
      <c r="AE43" s="51">
        <f>'FY28'!AD43</f>
        <v>1</v>
      </c>
      <c r="AF43" s="51">
        <f>'FY29'!AD43</f>
        <v>1</v>
      </c>
      <c r="AG43" s="51">
        <f>'FY30'!AD43</f>
        <v>2</v>
      </c>
      <c r="AH43" s="51">
        <f>'FY31'!AD43</f>
        <v>2</v>
      </c>
      <c r="AI43" s="193"/>
      <c r="AJ43" s="51">
        <f>'FY27'!AJ43</f>
        <v>0</v>
      </c>
      <c r="AK43" s="51">
        <f>'FY28'!AJ43</f>
        <v>0</v>
      </c>
      <c r="AL43" s="51">
        <f>'FY29'!AJ43</f>
        <v>0</v>
      </c>
      <c r="AM43" s="51">
        <f>'FY30'!AJ43</f>
        <v>1</v>
      </c>
      <c r="AN43" s="51">
        <f>'FY31'!AJ43</f>
        <v>1</v>
      </c>
      <c r="AP43" s="51">
        <f>'FY26'!AD43</f>
        <v>3</v>
      </c>
      <c r="AQ43" s="51">
        <f>'FY27'!AP43</f>
        <v>3</v>
      </c>
      <c r="AR43" s="51">
        <f>'FY28'!AP43</f>
        <v>3</v>
      </c>
      <c r="AS43" s="51">
        <f>'FY29'!AP43</f>
        <v>3</v>
      </c>
      <c r="AT43" s="51">
        <f>'FY30'!AP43</f>
        <v>3</v>
      </c>
      <c r="AU43" s="51">
        <f>'FY31'!AP43</f>
        <v>3</v>
      </c>
      <c r="AW43" s="51">
        <f>'FY26'!AJ43</f>
        <v>11.5</v>
      </c>
      <c r="AX43" s="51">
        <f>'FY27'!AV43</f>
        <v>12.5</v>
      </c>
      <c r="AY43" s="51">
        <f>'FY28'!AV43</f>
        <v>12.5</v>
      </c>
      <c r="AZ43" s="51">
        <f>'FY29'!AV43</f>
        <v>12.5</v>
      </c>
      <c r="BA43" s="51">
        <f>'FY30'!AV43</f>
        <v>14.5</v>
      </c>
      <c r="BB43" s="51">
        <f>'FY31'!AV43</f>
        <v>14.5</v>
      </c>
    </row>
    <row r="44" spans="1:54" x14ac:dyDescent="0.25">
      <c r="A44" s="11" t="s">
        <v>39</v>
      </c>
      <c r="B44" s="51">
        <f>'FY26'!F44</f>
        <v>2</v>
      </c>
      <c r="C44" s="51">
        <f>'FY27'!F44</f>
        <v>2</v>
      </c>
      <c r="D44" s="51">
        <f>'FY28'!F44</f>
        <v>2</v>
      </c>
      <c r="E44" s="51">
        <f>'FY29'!F44</f>
        <v>2</v>
      </c>
      <c r="F44" s="51">
        <f>'FY30'!F44</f>
        <v>2</v>
      </c>
      <c r="G44" s="51">
        <f>'FY31'!F44</f>
        <v>2</v>
      </c>
      <c r="I44" s="51">
        <f>'FY26'!L44</f>
        <v>2</v>
      </c>
      <c r="J44" s="51">
        <f>'FY27'!L44</f>
        <v>2</v>
      </c>
      <c r="K44" s="51">
        <f>'FY28'!L44</f>
        <v>2</v>
      </c>
      <c r="L44" s="51">
        <f>'FY29'!L44</f>
        <v>2</v>
      </c>
      <c r="M44" s="51">
        <f>'FY30'!L44</f>
        <v>2</v>
      </c>
      <c r="N44" s="51">
        <f>'FY31'!L44</f>
        <v>2</v>
      </c>
      <c r="P44" s="51">
        <f>'FY26'!R44</f>
        <v>5</v>
      </c>
      <c r="Q44" s="51">
        <f>'FY27'!R44</f>
        <v>5</v>
      </c>
      <c r="R44" s="51">
        <f>'FY28'!R44</f>
        <v>5</v>
      </c>
      <c r="S44" s="51">
        <f>'FY29'!R44</f>
        <v>5</v>
      </c>
      <c r="T44" s="51">
        <f>'FY30'!R44</f>
        <v>5</v>
      </c>
      <c r="U44" s="51">
        <f>'FY31'!R44</f>
        <v>5</v>
      </c>
      <c r="W44" s="51">
        <f>'FY26'!X44</f>
        <v>0</v>
      </c>
      <c r="X44" s="51">
        <f>'FY27'!X44</f>
        <v>0</v>
      </c>
      <c r="Y44" s="51">
        <f>'FY28'!X44</f>
        <v>0</v>
      </c>
      <c r="Z44" s="51">
        <f>'FY29'!X44</f>
        <v>0</v>
      </c>
      <c r="AA44" s="51">
        <f>'FY30'!X44</f>
        <v>0</v>
      </c>
      <c r="AB44" s="51">
        <f>'FY31'!X44</f>
        <v>0</v>
      </c>
      <c r="AC44" s="193"/>
      <c r="AD44" s="51">
        <f>'FY27'!AD44</f>
        <v>0</v>
      </c>
      <c r="AE44" s="51">
        <f>'FY28'!AD44</f>
        <v>0</v>
      </c>
      <c r="AF44" s="51">
        <f>'FY29'!AD44</f>
        <v>1</v>
      </c>
      <c r="AG44" s="51">
        <f>'FY30'!AD44</f>
        <v>2</v>
      </c>
      <c r="AH44" s="51">
        <f>'FY31'!AD44</f>
        <v>3</v>
      </c>
      <c r="AI44" s="193"/>
      <c r="AJ44" s="51">
        <f>'FY27'!AJ44</f>
        <v>0</v>
      </c>
      <c r="AK44" s="51">
        <f>'FY28'!AJ44</f>
        <v>0</v>
      </c>
      <c r="AL44" s="51">
        <f>'FY29'!AJ44</f>
        <v>1</v>
      </c>
      <c r="AM44" s="51">
        <f>'FY30'!AJ44</f>
        <v>1</v>
      </c>
      <c r="AN44" s="51">
        <f>'FY31'!AJ44</f>
        <v>2</v>
      </c>
      <c r="AP44" s="51">
        <f>'FY26'!AD44</f>
        <v>2</v>
      </c>
      <c r="AQ44" s="51">
        <f>'FY27'!AP44</f>
        <v>2</v>
      </c>
      <c r="AR44" s="51">
        <f>'FY28'!AP44</f>
        <v>2</v>
      </c>
      <c r="AS44" s="51">
        <f>'FY29'!AP44</f>
        <v>2</v>
      </c>
      <c r="AT44" s="51">
        <f>'FY30'!AP44</f>
        <v>2</v>
      </c>
      <c r="AU44" s="51">
        <f>'FY31'!AP44</f>
        <v>2</v>
      </c>
      <c r="AW44" s="51">
        <f>'FY26'!AJ44</f>
        <v>11</v>
      </c>
      <c r="AX44" s="51">
        <f>'FY27'!AV44</f>
        <v>11</v>
      </c>
      <c r="AY44" s="51">
        <f>'FY28'!AV44</f>
        <v>11</v>
      </c>
      <c r="AZ44" s="51">
        <f>'FY29'!AV44</f>
        <v>13</v>
      </c>
      <c r="BA44" s="51">
        <f>'FY30'!AV44</f>
        <v>14</v>
      </c>
      <c r="BB44" s="51">
        <f>'FY31'!AV44</f>
        <v>16</v>
      </c>
    </row>
    <row r="45" spans="1:54" x14ac:dyDescent="0.25">
      <c r="A45" s="11" t="s">
        <v>40</v>
      </c>
      <c r="B45" s="51">
        <f>'FY26'!F45</f>
        <v>2</v>
      </c>
      <c r="C45" s="51">
        <f>'FY27'!F45</f>
        <v>2</v>
      </c>
      <c r="D45" s="51">
        <f>'FY28'!F45</f>
        <v>2</v>
      </c>
      <c r="E45" s="51">
        <f>'FY29'!F45</f>
        <v>2</v>
      </c>
      <c r="F45" s="51">
        <f>'FY30'!F45</f>
        <v>2</v>
      </c>
      <c r="G45" s="51">
        <f>'FY31'!F45</f>
        <v>2</v>
      </c>
      <c r="I45" s="51">
        <f>'FY26'!L45</f>
        <v>1</v>
      </c>
      <c r="J45" s="51">
        <f>'FY27'!L45</f>
        <v>1</v>
      </c>
      <c r="K45" s="51">
        <f>'FY28'!L45</f>
        <v>1</v>
      </c>
      <c r="L45" s="51">
        <f>'FY29'!L45</f>
        <v>1</v>
      </c>
      <c r="M45" s="51">
        <f>'FY30'!L45</f>
        <v>1</v>
      </c>
      <c r="N45" s="51">
        <f>'FY31'!L45</f>
        <v>1</v>
      </c>
      <c r="P45" s="51">
        <f>'FY26'!R45</f>
        <v>0</v>
      </c>
      <c r="Q45" s="51">
        <f>'FY27'!R45</f>
        <v>0</v>
      </c>
      <c r="R45" s="51">
        <f>'FY28'!R45</f>
        <v>0</v>
      </c>
      <c r="S45" s="51">
        <f>'FY29'!R45</f>
        <v>0</v>
      </c>
      <c r="T45" s="51">
        <f>'FY30'!R45</f>
        <v>0</v>
      </c>
      <c r="U45" s="51">
        <f>'FY31'!R45</f>
        <v>0</v>
      </c>
      <c r="W45" s="51">
        <f>'FY26'!X45</f>
        <v>0</v>
      </c>
      <c r="X45" s="51">
        <f>'FY27'!X45</f>
        <v>0</v>
      </c>
      <c r="Y45" s="51">
        <f>'FY28'!X45</f>
        <v>0</v>
      </c>
      <c r="Z45" s="51">
        <f>'FY29'!X45</f>
        <v>0</v>
      </c>
      <c r="AA45" s="51">
        <f>'FY30'!X45</f>
        <v>0</v>
      </c>
      <c r="AB45" s="51">
        <f>'FY31'!X45</f>
        <v>0</v>
      </c>
      <c r="AC45" s="193"/>
      <c r="AD45" s="51">
        <f>'FY27'!AD45</f>
        <v>0</v>
      </c>
      <c r="AE45" s="51">
        <f>'FY28'!AD45</f>
        <v>0</v>
      </c>
      <c r="AF45" s="51">
        <f>'FY29'!AD45</f>
        <v>0</v>
      </c>
      <c r="AG45" s="51">
        <f>'FY30'!AD45</f>
        <v>0</v>
      </c>
      <c r="AH45" s="51">
        <f>'FY31'!AD45</f>
        <v>0</v>
      </c>
      <c r="AI45" s="193"/>
      <c r="AJ45" s="51">
        <f>'FY27'!AJ45</f>
        <v>0</v>
      </c>
      <c r="AK45" s="51">
        <f>'FY28'!AJ45</f>
        <v>0</v>
      </c>
      <c r="AL45" s="51">
        <f>'FY29'!AJ45</f>
        <v>1</v>
      </c>
      <c r="AM45" s="51">
        <f>'FY30'!AJ45</f>
        <v>2</v>
      </c>
      <c r="AN45" s="51">
        <f>'FY31'!AJ45</f>
        <v>2</v>
      </c>
      <c r="AP45" s="51">
        <f>'FY26'!AD45</f>
        <v>1</v>
      </c>
      <c r="AQ45" s="51">
        <f>'FY27'!AP45</f>
        <v>1</v>
      </c>
      <c r="AR45" s="51">
        <f>'FY28'!AP45</f>
        <v>1</v>
      </c>
      <c r="AS45" s="51">
        <f>'FY29'!AP45</f>
        <v>1</v>
      </c>
      <c r="AT45" s="51">
        <f>'FY30'!AP45</f>
        <v>1</v>
      </c>
      <c r="AU45" s="51">
        <f>'FY31'!AP45</f>
        <v>1</v>
      </c>
      <c r="AW45" s="51">
        <f>'FY26'!AJ45</f>
        <v>4</v>
      </c>
      <c r="AX45" s="51">
        <f>'FY27'!AV45</f>
        <v>4</v>
      </c>
      <c r="AY45" s="51">
        <f>'FY28'!AV45</f>
        <v>4</v>
      </c>
      <c r="AZ45" s="51">
        <f>'FY29'!AV45</f>
        <v>5</v>
      </c>
      <c r="BA45" s="51">
        <f>'FY30'!AV45</f>
        <v>6</v>
      </c>
      <c r="BB45" s="51">
        <f>'FY31'!AV45</f>
        <v>6</v>
      </c>
    </row>
    <row r="46" spans="1:54" x14ac:dyDescent="0.25">
      <c r="A46" s="11" t="s">
        <v>41</v>
      </c>
      <c r="B46" s="51">
        <f>'FY26'!F46</f>
        <v>2</v>
      </c>
      <c r="C46" s="51">
        <f>'FY27'!F46</f>
        <v>2</v>
      </c>
      <c r="D46" s="51">
        <f>'FY28'!F46</f>
        <v>2</v>
      </c>
      <c r="E46" s="51">
        <f>'FY29'!F46</f>
        <v>2</v>
      </c>
      <c r="F46" s="51">
        <f>'FY30'!F46</f>
        <v>2</v>
      </c>
      <c r="G46" s="51">
        <f>'FY31'!F46</f>
        <v>2</v>
      </c>
      <c r="I46" s="51">
        <f>'FY26'!L46</f>
        <v>2</v>
      </c>
      <c r="J46" s="51">
        <f>'FY27'!L46</f>
        <v>2</v>
      </c>
      <c r="K46" s="51">
        <f>'FY28'!L46</f>
        <v>2</v>
      </c>
      <c r="L46" s="51">
        <f>'FY29'!L46</f>
        <v>2</v>
      </c>
      <c r="M46" s="51">
        <f>'FY30'!L46</f>
        <v>2</v>
      </c>
      <c r="N46" s="51">
        <f>'FY31'!L46</f>
        <v>2</v>
      </c>
      <c r="P46" s="51">
        <f>'FY26'!R46</f>
        <v>3</v>
      </c>
      <c r="Q46" s="51">
        <f>'FY27'!R46</f>
        <v>3</v>
      </c>
      <c r="R46" s="51">
        <f>'FY28'!R46</f>
        <v>3</v>
      </c>
      <c r="S46" s="51">
        <f>'FY29'!R46</f>
        <v>3</v>
      </c>
      <c r="T46" s="51">
        <f>'FY30'!R46</f>
        <v>3</v>
      </c>
      <c r="U46" s="51">
        <f>'FY31'!R46</f>
        <v>3</v>
      </c>
      <c r="W46" s="51">
        <f>'FY26'!X46</f>
        <v>1</v>
      </c>
      <c r="X46" s="51">
        <f>'FY27'!X46</f>
        <v>1</v>
      </c>
      <c r="Y46" s="51">
        <f>'FY28'!X46</f>
        <v>1</v>
      </c>
      <c r="Z46" s="51">
        <f>'FY29'!X46</f>
        <v>1</v>
      </c>
      <c r="AA46" s="51">
        <f>'FY30'!X46</f>
        <v>1</v>
      </c>
      <c r="AB46" s="51">
        <f>'FY31'!X46</f>
        <v>1</v>
      </c>
      <c r="AC46" s="193"/>
      <c r="AD46" s="51">
        <f>'FY27'!AD46</f>
        <v>1</v>
      </c>
      <c r="AE46" s="51">
        <f>'FY28'!AD46</f>
        <v>1</v>
      </c>
      <c r="AF46" s="51">
        <f>'FY29'!AD46</f>
        <v>1</v>
      </c>
      <c r="AG46" s="51">
        <f>'FY30'!AD46</f>
        <v>1</v>
      </c>
      <c r="AH46" s="51">
        <f>'FY31'!AD46</f>
        <v>1</v>
      </c>
      <c r="AI46" s="193"/>
      <c r="AJ46" s="51">
        <f>'FY27'!AJ46</f>
        <v>0</v>
      </c>
      <c r="AK46" s="51">
        <f>'FY28'!AJ46</f>
        <v>1</v>
      </c>
      <c r="AL46" s="51">
        <f>'FY29'!AJ46</f>
        <v>1</v>
      </c>
      <c r="AM46" s="51">
        <f>'FY30'!AJ46</f>
        <v>1</v>
      </c>
      <c r="AN46" s="51">
        <f>'FY31'!AJ46</f>
        <v>1</v>
      </c>
      <c r="AP46" s="51">
        <f>'FY26'!AD46</f>
        <v>1</v>
      </c>
      <c r="AQ46" s="51">
        <f>'FY27'!AP46</f>
        <v>1</v>
      </c>
      <c r="AR46" s="51">
        <f>'FY28'!AP46</f>
        <v>1</v>
      </c>
      <c r="AS46" s="51">
        <f>'FY29'!AP46</f>
        <v>1</v>
      </c>
      <c r="AT46" s="51">
        <f>'FY30'!AP46</f>
        <v>1</v>
      </c>
      <c r="AU46" s="51">
        <f>'FY31'!AP46</f>
        <v>1</v>
      </c>
      <c r="AW46" s="51">
        <f>'FY26'!AJ46</f>
        <v>9</v>
      </c>
      <c r="AX46" s="51">
        <f>'FY27'!AV46</f>
        <v>10</v>
      </c>
      <c r="AY46" s="51">
        <f>'FY28'!AV46</f>
        <v>11</v>
      </c>
      <c r="AZ46" s="51">
        <f>'FY29'!AV46</f>
        <v>11</v>
      </c>
      <c r="BA46" s="51">
        <f>'FY30'!AV46</f>
        <v>11</v>
      </c>
      <c r="BB46" s="51">
        <f>'FY31'!AV46</f>
        <v>11</v>
      </c>
    </row>
    <row r="47" spans="1:54" x14ac:dyDescent="0.25">
      <c r="A47" s="11" t="s">
        <v>42</v>
      </c>
      <c r="B47" s="51">
        <f>'FY26'!F47</f>
        <v>1</v>
      </c>
      <c r="C47" s="51">
        <f>'FY27'!F47</f>
        <v>1</v>
      </c>
      <c r="D47" s="51">
        <f>'FY28'!F47</f>
        <v>1</v>
      </c>
      <c r="E47" s="51">
        <f>'FY29'!F47</f>
        <v>1</v>
      </c>
      <c r="F47" s="51">
        <f>'FY30'!F47</f>
        <v>1</v>
      </c>
      <c r="G47" s="51">
        <f>'FY31'!F47</f>
        <v>1</v>
      </c>
      <c r="I47" s="51">
        <f>'FY26'!L47</f>
        <v>1</v>
      </c>
      <c r="J47" s="51">
        <f>'FY27'!L47</f>
        <v>1</v>
      </c>
      <c r="K47" s="51">
        <f>'FY28'!L47</f>
        <v>1</v>
      </c>
      <c r="L47" s="51">
        <f>'FY29'!L47</f>
        <v>1</v>
      </c>
      <c r="M47" s="51">
        <f>'FY30'!L47</f>
        <v>1</v>
      </c>
      <c r="N47" s="51">
        <f>'FY31'!L47</f>
        <v>1</v>
      </c>
      <c r="P47" s="51">
        <f>'FY26'!R47</f>
        <v>2</v>
      </c>
      <c r="Q47" s="51">
        <f>'FY27'!R47</f>
        <v>2</v>
      </c>
      <c r="R47" s="51">
        <f>'FY28'!R47</f>
        <v>2</v>
      </c>
      <c r="S47" s="51">
        <f>'FY29'!R47</f>
        <v>2</v>
      </c>
      <c r="T47" s="51">
        <f>'FY30'!R47</f>
        <v>2</v>
      </c>
      <c r="U47" s="51">
        <f>'FY31'!R47</f>
        <v>2</v>
      </c>
      <c r="W47" s="51">
        <f>'FY26'!X47</f>
        <v>1</v>
      </c>
      <c r="X47" s="51">
        <f>'FY27'!X47</f>
        <v>0</v>
      </c>
      <c r="Y47" s="51">
        <f>'FY28'!X47</f>
        <v>0</v>
      </c>
      <c r="Z47" s="51">
        <f>'FY29'!X47</f>
        <v>0</v>
      </c>
      <c r="AA47" s="51">
        <f>'FY30'!X47</f>
        <v>0</v>
      </c>
      <c r="AB47" s="51">
        <f>'FY31'!X47</f>
        <v>0</v>
      </c>
      <c r="AC47" s="193"/>
      <c r="AD47" s="51">
        <f>'FY27'!AD47</f>
        <v>0</v>
      </c>
      <c r="AE47" s="51">
        <f>'FY28'!AD47</f>
        <v>1</v>
      </c>
      <c r="AF47" s="51">
        <f>'FY29'!AD47</f>
        <v>1</v>
      </c>
      <c r="AG47" s="51">
        <f>'FY30'!AD47</f>
        <v>1</v>
      </c>
      <c r="AH47" s="51">
        <f>'FY31'!AD47</f>
        <v>1</v>
      </c>
      <c r="AI47" s="193"/>
      <c r="AJ47" s="51">
        <f>'FY27'!AJ47</f>
        <v>0</v>
      </c>
      <c r="AK47" s="51">
        <f>'FY28'!AJ47</f>
        <v>1</v>
      </c>
      <c r="AL47" s="51">
        <f>'FY29'!AJ47</f>
        <v>1</v>
      </c>
      <c r="AM47" s="51">
        <f>'FY30'!AJ47</f>
        <v>1</v>
      </c>
      <c r="AN47" s="51">
        <f>'FY31'!AJ47</f>
        <v>1</v>
      </c>
      <c r="AP47" s="51">
        <f>'FY26'!AD47</f>
        <v>0</v>
      </c>
      <c r="AQ47" s="51">
        <f>'FY27'!AP47</f>
        <v>0</v>
      </c>
      <c r="AR47" s="51">
        <f>'FY28'!AP47</f>
        <v>0</v>
      </c>
      <c r="AS47" s="51">
        <f>'FY29'!AP47</f>
        <v>0</v>
      </c>
      <c r="AT47" s="51">
        <f>'FY30'!AP47</f>
        <v>0</v>
      </c>
      <c r="AU47" s="51">
        <f>'FY31'!AP47</f>
        <v>0</v>
      </c>
      <c r="AW47" s="51">
        <f>'FY26'!AJ47</f>
        <v>5</v>
      </c>
      <c r="AX47" s="51">
        <f>'FY27'!AV47</f>
        <v>4</v>
      </c>
      <c r="AY47" s="51">
        <f>'FY28'!AV47</f>
        <v>6</v>
      </c>
      <c r="AZ47" s="51">
        <f>'FY29'!AV47</f>
        <v>6</v>
      </c>
      <c r="BA47" s="51">
        <f>'FY30'!AV47</f>
        <v>6</v>
      </c>
      <c r="BB47" s="51">
        <f>'FY31'!AV47</f>
        <v>6</v>
      </c>
    </row>
    <row r="48" spans="1:54" x14ac:dyDescent="0.25">
      <c r="A48" s="11" t="s">
        <v>43</v>
      </c>
      <c r="B48" s="51">
        <f>'FY26'!F48</f>
        <v>1</v>
      </c>
      <c r="C48" s="51">
        <f>'FY27'!F48</f>
        <v>1</v>
      </c>
      <c r="D48" s="51">
        <f>'FY28'!F48</f>
        <v>1</v>
      </c>
      <c r="E48" s="51">
        <f>'FY29'!F48</f>
        <v>1</v>
      </c>
      <c r="F48" s="51">
        <f>'FY30'!F48</f>
        <v>1</v>
      </c>
      <c r="G48" s="51">
        <f>'FY31'!F48</f>
        <v>1</v>
      </c>
      <c r="I48" s="51">
        <f>'FY26'!L48</f>
        <v>1</v>
      </c>
      <c r="J48" s="51">
        <f>'FY27'!L48</f>
        <v>1</v>
      </c>
      <c r="K48" s="51">
        <f>'FY28'!L48</f>
        <v>1</v>
      </c>
      <c r="L48" s="51">
        <f>'FY29'!L48</f>
        <v>1</v>
      </c>
      <c r="M48" s="51">
        <f>'FY30'!L48</f>
        <v>1</v>
      </c>
      <c r="N48" s="51">
        <f>'FY31'!L48</f>
        <v>1</v>
      </c>
      <c r="P48" s="51">
        <f>'FY26'!R48</f>
        <v>3</v>
      </c>
      <c r="Q48" s="51">
        <f>'FY27'!R48</f>
        <v>3</v>
      </c>
      <c r="R48" s="51">
        <f>'FY28'!R48</f>
        <v>3</v>
      </c>
      <c r="S48" s="51">
        <f>'FY29'!R48</f>
        <v>3</v>
      </c>
      <c r="T48" s="51">
        <f>'FY30'!R48</f>
        <v>3</v>
      </c>
      <c r="U48" s="51">
        <f>'FY31'!R48</f>
        <v>3</v>
      </c>
      <c r="W48" s="51">
        <f>'FY26'!X48</f>
        <v>0</v>
      </c>
      <c r="X48" s="51">
        <f>'FY27'!X48</f>
        <v>0</v>
      </c>
      <c r="Y48" s="51">
        <f>'FY28'!X48</f>
        <v>0</v>
      </c>
      <c r="Z48" s="51">
        <f>'FY29'!X48</f>
        <v>0</v>
      </c>
      <c r="AA48" s="51">
        <f>'FY30'!X48</f>
        <v>0</v>
      </c>
      <c r="AB48" s="51">
        <f>'FY31'!X48</f>
        <v>0</v>
      </c>
      <c r="AC48" s="193"/>
      <c r="AD48" s="51">
        <f>'FY27'!AD48</f>
        <v>1</v>
      </c>
      <c r="AE48" s="51">
        <f>'FY28'!AD48</f>
        <v>1</v>
      </c>
      <c r="AF48" s="51">
        <f>'FY29'!AD48</f>
        <v>1</v>
      </c>
      <c r="AG48" s="51">
        <f>'FY30'!AD48</f>
        <v>1</v>
      </c>
      <c r="AH48" s="51">
        <f>'FY31'!AD48</f>
        <v>1</v>
      </c>
      <c r="AI48" s="193"/>
      <c r="AJ48" s="51">
        <f>'FY27'!AJ48</f>
        <v>0</v>
      </c>
      <c r="AK48" s="51">
        <f>'FY28'!AJ48</f>
        <v>1</v>
      </c>
      <c r="AL48" s="51">
        <f>'FY29'!AJ48</f>
        <v>1</v>
      </c>
      <c r="AM48" s="51">
        <f>'FY30'!AJ48</f>
        <v>1</v>
      </c>
      <c r="AN48" s="51">
        <f>'FY31'!AJ48</f>
        <v>1</v>
      </c>
      <c r="AP48" s="51">
        <f>'FY26'!AD48</f>
        <v>0</v>
      </c>
      <c r="AQ48" s="51">
        <f>'FY27'!AP48</f>
        <v>0</v>
      </c>
      <c r="AR48" s="51">
        <f>'FY28'!AP48</f>
        <v>0</v>
      </c>
      <c r="AS48" s="51">
        <f>'FY29'!AP48</f>
        <v>0</v>
      </c>
      <c r="AT48" s="51">
        <f>'FY30'!AP48</f>
        <v>0</v>
      </c>
      <c r="AU48" s="51">
        <f>'FY31'!AP48</f>
        <v>0</v>
      </c>
      <c r="AW48" s="51">
        <f>'FY26'!AJ48</f>
        <v>5</v>
      </c>
      <c r="AX48" s="51">
        <f>'FY27'!AV48</f>
        <v>6</v>
      </c>
      <c r="AY48" s="51">
        <f>'FY28'!AV48</f>
        <v>7</v>
      </c>
      <c r="AZ48" s="51">
        <f>'FY29'!AV48</f>
        <v>7</v>
      </c>
      <c r="BA48" s="51">
        <f>'FY30'!AV48</f>
        <v>7</v>
      </c>
      <c r="BB48" s="51">
        <f>'FY31'!AV48</f>
        <v>7</v>
      </c>
    </row>
    <row r="49" spans="1:54" x14ac:dyDescent="0.25">
      <c r="A49" s="11" t="s">
        <v>44</v>
      </c>
      <c r="B49" s="51">
        <f>'FY26'!F49</f>
        <v>2</v>
      </c>
      <c r="C49" s="51">
        <f>'FY27'!F49</f>
        <v>2</v>
      </c>
      <c r="D49" s="51">
        <f>'FY28'!F49</f>
        <v>2</v>
      </c>
      <c r="E49" s="51">
        <f>'FY29'!F49</f>
        <v>2</v>
      </c>
      <c r="F49" s="51">
        <f>'FY30'!F49</f>
        <v>2</v>
      </c>
      <c r="G49" s="51">
        <f>'FY31'!F49</f>
        <v>2</v>
      </c>
      <c r="I49" s="51">
        <f>'FY26'!L49</f>
        <v>2</v>
      </c>
      <c r="J49" s="51">
        <f>'FY27'!L49</f>
        <v>2</v>
      </c>
      <c r="K49" s="51">
        <f>'FY28'!L49</f>
        <v>2</v>
      </c>
      <c r="L49" s="51">
        <f>'FY29'!L49</f>
        <v>2</v>
      </c>
      <c r="M49" s="51">
        <f>'FY30'!L49</f>
        <v>2</v>
      </c>
      <c r="N49" s="51">
        <f>'FY31'!L49</f>
        <v>2</v>
      </c>
      <c r="P49" s="51">
        <f>'FY26'!R49</f>
        <v>4</v>
      </c>
      <c r="Q49" s="51">
        <f>'FY27'!R49</f>
        <v>4</v>
      </c>
      <c r="R49" s="51">
        <f>'FY28'!R49</f>
        <v>4</v>
      </c>
      <c r="S49" s="51">
        <f>'FY29'!R49</f>
        <v>4</v>
      </c>
      <c r="T49" s="51">
        <f>'FY30'!R49</f>
        <v>4</v>
      </c>
      <c r="U49" s="51">
        <f>'FY31'!R49</f>
        <v>4</v>
      </c>
      <c r="W49" s="51">
        <f>'FY26'!X49</f>
        <v>1</v>
      </c>
      <c r="X49" s="51">
        <f>'FY27'!X49</f>
        <v>1</v>
      </c>
      <c r="Y49" s="51">
        <f>'FY28'!X49</f>
        <v>1</v>
      </c>
      <c r="Z49" s="51">
        <f>'FY29'!X49</f>
        <v>1</v>
      </c>
      <c r="AA49" s="51">
        <f>'FY30'!X49</f>
        <v>1</v>
      </c>
      <c r="AB49" s="51">
        <f>'FY31'!X49</f>
        <v>1</v>
      </c>
      <c r="AC49" s="193"/>
      <c r="AD49" s="51">
        <f>'FY27'!AD49</f>
        <v>1</v>
      </c>
      <c r="AE49" s="51">
        <f>'FY28'!AD49</f>
        <v>1</v>
      </c>
      <c r="AF49" s="51">
        <f>'FY29'!AD49</f>
        <v>1</v>
      </c>
      <c r="AG49" s="51">
        <f>'FY30'!AD49</f>
        <v>1</v>
      </c>
      <c r="AH49" s="51">
        <f>'FY31'!AD49</f>
        <v>2</v>
      </c>
      <c r="AI49" s="193"/>
      <c r="AJ49" s="51">
        <f>'FY27'!AJ49</f>
        <v>0</v>
      </c>
      <c r="AK49" s="51">
        <f>'FY28'!AJ49</f>
        <v>1</v>
      </c>
      <c r="AL49" s="51">
        <f>'FY29'!AJ49</f>
        <v>1</v>
      </c>
      <c r="AM49" s="51">
        <f>'FY30'!AJ49</f>
        <v>1</v>
      </c>
      <c r="AN49" s="51">
        <f>'FY31'!AJ49</f>
        <v>1</v>
      </c>
      <c r="AP49" s="51">
        <f>'FY26'!AD49</f>
        <v>0</v>
      </c>
      <c r="AQ49" s="51">
        <f>'FY27'!AP49</f>
        <v>0</v>
      </c>
      <c r="AR49" s="51">
        <f>'FY28'!AP49</f>
        <v>0</v>
      </c>
      <c r="AS49" s="51">
        <f>'FY29'!AP49</f>
        <v>0</v>
      </c>
      <c r="AT49" s="51">
        <f>'FY30'!AP49</f>
        <v>0</v>
      </c>
      <c r="AU49" s="51">
        <f>'FY31'!AP49</f>
        <v>0</v>
      </c>
      <c r="AW49" s="51">
        <f>'FY26'!AJ49</f>
        <v>9</v>
      </c>
      <c r="AX49" s="51">
        <f>'FY27'!AV49</f>
        <v>10</v>
      </c>
      <c r="AY49" s="51">
        <f>'FY28'!AV49</f>
        <v>11</v>
      </c>
      <c r="AZ49" s="51">
        <f>'FY29'!AV49</f>
        <v>11</v>
      </c>
      <c r="BA49" s="51">
        <f>'FY30'!AV49</f>
        <v>11</v>
      </c>
      <c r="BB49" s="51">
        <f>'FY31'!AV49</f>
        <v>12</v>
      </c>
    </row>
    <row r="50" spans="1:54" x14ac:dyDescent="0.25">
      <c r="A50" s="11" t="s">
        <v>45</v>
      </c>
      <c r="B50" s="51">
        <f>'FY26'!F50</f>
        <v>16</v>
      </c>
      <c r="C50" s="51">
        <f>'FY27'!F50</f>
        <v>15</v>
      </c>
      <c r="D50" s="51">
        <f>'FY28'!F50</f>
        <v>14</v>
      </c>
      <c r="E50" s="51">
        <f>'FY29'!F50</f>
        <v>15</v>
      </c>
      <c r="F50" s="51">
        <f>'FY30'!F50</f>
        <v>14</v>
      </c>
      <c r="G50" s="51">
        <f>'FY31'!F50</f>
        <v>13.5</v>
      </c>
      <c r="I50" s="51">
        <f>'FY26'!L50</f>
        <v>16.5</v>
      </c>
      <c r="J50" s="51">
        <f>'FY27'!L50</f>
        <v>15.5</v>
      </c>
      <c r="K50" s="51">
        <f>'FY28'!L50</f>
        <v>14.5</v>
      </c>
      <c r="L50" s="51">
        <f>'FY29'!L50</f>
        <v>15.5</v>
      </c>
      <c r="M50" s="51">
        <f>'FY30'!L50</f>
        <v>14.5</v>
      </c>
      <c r="N50" s="51">
        <f>'FY31'!L50</f>
        <v>14</v>
      </c>
      <c r="P50" s="51">
        <f>'FY26'!R50</f>
        <v>26</v>
      </c>
      <c r="Q50" s="51">
        <f>'FY27'!R50</f>
        <v>26</v>
      </c>
      <c r="R50" s="51">
        <f>'FY28'!R50</f>
        <v>25</v>
      </c>
      <c r="S50" s="51">
        <f>'FY29'!R50</f>
        <v>26</v>
      </c>
      <c r="T50" s="51">
        <f>'FY30'!R50</f>
        <v>26</v>
      </c>
      <c r="U50" s="51">
        <f>'FY31'!R50</f>
        <v>25.5</v>
      </c>
      <c r="W50" s="51">
        <f>'FY26'!X50</f>
        <v>8</v>
      </c>
      <c r="X50" s="51">
        <f>'FY27'!X50</f>
        <v>6.5</v>
      </c>
      <c r="Y50" s="51">
        <f>'FY28'!X50</f>
        <v>6.5</v>
      </c>
      <c r="Z50" s="51">
        <f>'FY29'!X50</f>
        <v>6.5</v>
      </c>
      <c r="AA50" s="51">
        <f>'FY30'!X50</f>
        <v>6.5</v>
      </c>
      <c r="AB50" s="51">
        <f>'FY31'!X50</f>
        <v>6.5</v>
      </c>
      <c r="AC50" s="193"/>
      <c r="AD50" s="51">
        <f>'FY27'!AD50</f>
        <v>3</v>
      </c>
      <c r="AE50" s="51">
        <f>'FY28'!AD50</f>
        <v>4.5</v>
      </c>
      <c r="AF50" s="51">
        <f>'FY29'!AD50</f>
        <v>8</v>
      </c>
      <c r="AG50" s="51">
        <f>'FY30'!AD50</f>
        <v>9.5</v>
      </c>
      <c r="AH50" s="51">
        <f>'FY31'!AD50</f>
        <v>12</v>
      </c>
      <c r="AI50" s="193"/>
      <c r="AJ50" s="51">
        <f>'FY27'!AJ50</f>
        <v>0</v>
      </c>
      <c r="AK50" s="51">
        <f>'FY28'!AJ50</f>
        <v>7</v>
      </c>
      <c r="AL50" s="51">
        <f>'FY29'!AJ50</f>
        <v>12</v>
      </c>
      <c r="AM50" s="51">
        <f>'FY30'!AJ50</f>
        <v>12</v>
      </c>
      <c r="AN50" s="51">
        <f>'FY31'!AJ50</f>
        <v>13</v>
      </c>
      <c r="AP50" s="51">
        <f>'FY26'!AD50</f>
        <v>22</v>
      </c>
      <c r="AQ50" s="51">
        <f>'FY27'!AP50</f>
        <v>22</v>
      </c>
      <c r="AR50" s="51">
        <f>'FY28'!AP50</f>
        <v>22</v>
      </c>
      <c r="AS50" s="51">
        <f>'FY29'!AP50</f>
        <v>21</v>
      </c>
      <c r="AT50" s="51">
        <f>'FY30'!AP50</f>
        <v>21</v>
      </c>
      <c r="AU50" s="51">
        <f>'FY31'!AP50</f>
        <v>21</v>
      </c>
      <c r="AW50" s="51">
        <f>'FY26'!AJ50</f>
        <v>88.5</v>
      </c>
      <c r="AX50" s="51">
        <f>'FY27'!AV50</f>
        <v>88</v>
      </c>
      <c r="AY50" s="51">
        <f>'FY28'!AV50</f>
        <v>93.5</v>
      </c>
      <c r="AZ50" s="51">
        <f>'FY29'!AV50</f>
        <v>104</v>
      </c>
      <c r="BA50" s="51">
        <f>'FY30'!AV50</f>
        <v>103.5</v>
      </c>
      <c r="BB50" s="51">
        <f>'FY31'!AV50</f>
        <v>105.5</v>
      </c>
    </row>
    <row r="51" spans="1:54" x14ac:dyDescent="0.25">
      <c r="A51" s="11" t="s">
        <v>46</v>
      </c>
      <c r="B51" s="51">
        <f>'FY26'!F51</f>
        <v>4</v>
      </c>
      <c r="C51" s="51">
        <f>'FY27'!F51</f>
        <v>4</v>
      </c>
      <c r="D51" s="51">
        <f>'FY28'!F51</f>
        <v>4</v>
      </c>
      <c r="E51" s="51">
        <f>'FY29'!F51</f>
        <v>4</v>
      </c>
      <c r="F51" s="51">
        <f>'FY30'!F51</f>
        <v>4</v>
      </c>
      <c r="G51" s="51">
        <f>'FY31'!F51</f>
        <v>4</v>
      </c>
      <c r="I51" s="51">
        <f>'FY26'!L51</f>
        <v>3</v>
      </c>
      <c r="J51" s="51">
        <f>'FY27'!L51</f>
        <v>3</v>
      </c>
      <c r="K51" s="51">
        <f>'FY28'!L51</f>
        <v>3</v>
      </c>
      <c r="L51" s="51">
        <f>'FY29'!L51</f>
        <v>3</v>
      </c>
      <c r="M51" s="51">
        <f>'FY30'!L51</f>
        <v>3</v>
      </c>
      <c r="N51" s="51">
        <f>'FY31'!L51</f>
        <v>3</v>
      </c>
      <c r="P51" s="51">
        <f>'FY26'!R51</f>
        <v>12</v>
      </c>
      <c r="Q51" s="51">
        <f>'FY27'!R51</f>
        <v>12</v>
      </c>
      <c r="R51" s="51">
        <f>'FY28'!R51</f>
        <v>12</v>
      </c>
      <c r="S51" s="51">
        <f>'FY29'!R51</f>
        <v>12</v>
      </c>
      <c r="T51" s="51">
        <f>'FY30'!R51</f>
        <v>13</v>
      </c>
      <c r="U51" s="51">
        <f>'FY31'!R51</f>
        <v>13</v>
      </c>
      <c r="W51" s="51">
        <f>'FY26'!X51</f>
        <v>1.5</v>
      </c>
      <c r="X51" s="51">
        <f>'FY27'!X51</f>
        <v>1</v>
      </c>
      <c r="Y51" s="51">
        <f>'FY28'!X51</f>
        <v>2</v>
      </c>
      <c r="Z51" s="51">
        <f>'FY29'!X51</f>
        <v>1</v>
      </c>
      <c r="AA51" s="51">
        <f>'FY30'!X51</f>
        <v>1</v>
      </c>
      <c r="AB51" s="51">
        <f>'FY31'!X51</f>
        <v>1</v>
      </c>
      <c r="AC51" s="193"/>
      <c r="AD51" s="51">
        <f>'FY27'!AD51</f>
        <v>1</v>
      </c>
      <c r="AE51" s="51">
        <f>'FY28'!AD51</f>
        <v>2</v>
      </c>
      <c r="AF51" s="51">
        <f>'FY29'!AD51</f>
        <v>3</v>
      </c>
      <c r="AG51" s="51">
        <f>'FY30'!AD51</f>
        <v>5</v>
      </c>
      <c r="AH51" s="51">
        <f>'FY31'!AD51</f>
        <v>5</v>
      </c>
      <c r="AI51" s="193"/>
      <c r="AJ51" s="51">
        <f>'FY27'!AJ51</f>
        <v>0</v>
      </c>
      <c r="AK51" s="51">
        <f>'FY28'!AJ51</f>
        <v>2</v>
      </c>
      <c r="AL51" s="51">
        <f>'FY29'!AJ51</f>
        <v>2</v>
      </c>
      <c r="AM51" s="51">
        <f>'FY30'!AJ51</f>
        <v>3</v>
      </c>
      <c r="AN51" s="51">
        <f>'FY31'!AJ51</f>
        <v>3</v>
      </c>
      <c r="AP51" s="51">
        <f>'FY26'!AD51</f>
        <v>1</v>
      </c>
      <c r="AQ51" s="51">
        <f>'FY27'!AP51</f>
        <v>1</v>
      </c>
      <c r="AR51" s="51">
        <f>'FY28'!AP51</f>
        <v>1</v>
      </c>
      <c r="AS51" s="51">
        <f>'FY29'!AP51</f>
        <v>0</v>
      </c>
      <c r="AT51" s="51">
        <f>'FY30'!AP51</f>
        <v>0</v>
      </c>
      <c r="AU51" s="51">
        <f>'FY31'!AP51</f>
        <v>0</v>
      </c>
      <c r="AW51" s="51">
        <f>'FY26'!AJ51</f>
        <v>21.5</v>
      </c>
      <c r="AX51" s="51">
        <f>'FY27'!AV51</f>
        <v>22</v>
      </c>
      <c r="AY51" s="51">
        <f>'FY28'!AV51</f>
        <v>26</v>
      </c>
      <c r="AZ51" s="51">
        <f>'FY29'!AV51</f>
        <v>25</v>
      </c>
      <c r="BA51" s="51">
        <f>'FY30'!AV51</f>
        <v>29</v>
      </c>
      <c r="BB51" s="51">
        <f>'FY31'!AV51</f>
        <v>29</v>
      </c>
    </row>
    <row r="52" spans="1:54" x14ac:dyDescent="0.25">
      <c r="A52" s="11" t="s">
        <v>47</v>
      </c>
      <c r="B52" s="51">
        <f>'FY26'!F52</f>
        <v>3</v>
      </c>
      <c r="C52" s="51">
        <f>'FY27'!F52</f>
        <v>3</v>
      </c>
      <c r="D52" s="51">
        <f>'FY28'!F52</f>
        <v>3</v>
      </c>
      <c r="E52" s="51">
        <f>'FY29'!F52</f>
        <v>3</v>
      </c>
      <c r="F52" s="51">
        <f>'FY30'!F52</f>
        <v>3</v>
      </c>
      <c r="G52" s="51">
        <f>'FY31'!F52</f>
        <v>3</v>
      </c>
      <c r="I52" s="51">
        <f>'FY26'!L52</f>
        <v>3</v>
      </c>
      <c r="J52" s="51">
        <f>'FY27'!L52</f>
        <v>3</v>
      </c>
      <c r="K52" s="51">
        <f>'FY28'!L52</f>
        <v>3</v>
      </c>
      <c r="L52" s="51">
        <f>'FY29'!L52</f>
        <v>3</v>
      </c>
      <c r="M52" s="51">
        <f>'FY30'!L52</f>
        <v>3</v>
      </c>
      <c r="N52" s="51">
        <f>'FY31'!L52</f>
        <v>3</v>
      </c>
      <c r="P52" s="51">
        <f>'FY26'!R52</f>
        <v>9</v>
      </c>
      <c r="Q52" s="51">
        <f>'FY27'!R52</f>
        <v>9</v>
      </c>
      <c r="R52" s="51">
        <f>'FY28'!R52</f>
        <v>9</v>
      </c>
      <c r="S52" s="51">
        <f>'FY29'!R52</f>
        <v>9</v>
      </c>
      <c r="T52" s="51">
        <f>'FY30'!R52</f>
        <v>9</v>
      </c>
      <c r="U52" s="51">
        <f>'FY31'!R52</f>
        <v>9</v>
      </c>
      <c r="W52" s="51">
        <f>'FY26'!X52</f>
        <v>0</v>
      </c>
      <c r="X52" s="51">
        <f>'FY27'!X52</f>
        <v>0</v>
      </c>
      <c r="Y52" s="51">
        <f>'FY28'!X52</f>
        <v>0</v>
      </c>
      <c r="Z52" s="51">
        <f>'FY29'!X52</f>
        <v>0</v>
      </c>
      <c r="AA52" s="51">
        <f>'FY30'!X52</f>
        <v>0</v>
      </c>
      <c r="AB52" s="51">
        <f>'FY31'!X52</f>
        <v>0</v>
      </c>
      <c r="AC52" s="193"/>
      <c r="AD52" s="51">
        <f>'FY27'!AD52</f>
        <v>1</v>
      </c>
      <c r="AE52" s="51">
        <f>'FY28'!AD52</f>
        <v>1</v>
      </c>
      <c r="AF52" s="51">
        <f>'FY29'!AD52</f>
        <v>2</v>
      </c>
      <c r="AG52" s="51">
        <f>'FY30'!AD52</f>
        <v>2</v>
      </c>
      <c r="AH52" s="51">
        <f>'FY31'!AD52</f>
        <v>2</v>
      </c>
      <c r="AI52" s="193"/>
      <c r="AJ52" s="51">
        <f>'FY27'!AJ52</f>
        <v>0</v>
      </c>
      <c r="AK52" s="51">
        <f>'FY28'!AJ52</f>
        <v>0</v>
      </c>
      <c r="AL52" s="51">
        <f>'FY29'!AJ52</f>
        <v>0</v>
      </c>
      <c r="AM52" s="51">
        <f>'FY30'!AJ52</f>
        <v>0</v>
      </c>
      <c r="AN52" s="51">
        <f>'FY31'!AJ52</f>
        <v>0</v>
      </c>
      <c r="AP52" s="51">
        <f>'FY26'!AD52</f>
        <v>1</v>
      </c>
      <c r="AQ52" s="51">
        <f>'FY27'!AP52</f>
        <v>1</v>
      </c>
      <c r="AR52" s="51">
        <f>'FY28'!AP52</f>
        <v>1</v>
      </c>
      <c r="AS52" s="51">
        <f>'FY29'!AP52</f>
        <v>1</v>
      </c>
      <c r="AT52" s="51">
        <f>'FY30'!AP52</f>
        <v>1</v>
      </c>
      <c r="AU52" s="51">
        <f>'FY31'!AP52</f>
        <v>1</v>
      </c>
      <c r="AW52" s="51">
        <f>'FY26'!AJ52</f>
        <v>16</v>
      </c>
      <c r="AX52" s="51">
        <f>'FY27'!AV52</f>
        <v>17</v>
      </c>
      <c r="AY52" s="51">
        <f>'FY28'!AV52</f>
        <v>17</v>
      </c>
      <c r="AZ52" s="51">
        <f>'FY29'!AV52</f>
        <v>18</v>
      </c>
      <c r="BA52" s="51">
        <f>'FY30'!AV52</f>
        <v>18</v>
      </c>
      <c r="BB52" s="51">
        <f>'FY31'!AV52</f>
        <v>18</v>
      </c>
    </row>
    <row r="53" spans="1:54" x14ac:dyDescent="0.25">
      <c r="A53" s="11" t="s">
        <v>48</v>
      </c>
      <c r="B53" s="51">
        <f>'FY26'!F53</f>
        <v>0</v>
      </c>
      <c r="C53" s="51">
        <f>'FY27'!F53</f>
        <v>0</v>
      </c>
      <c r="D53" s="51">
        <f>'FY28'!F53</f>
        <v>0</v>
      </c>
      <c r="E53" s="51">
        <f>'FY29'!F53</f>
        <v>0</v>
      </c>
      <c r="F53" s="51">
        <f>'FY30'!F53</f>
        <v>0</v>
      </c>
      <c r="G53" s="51">
        <f>'FY31'!F53</f>
        <v>0</v>
      </c>
      <c r="I53" s="51">
        <f>'FY26'!L53</f>
        <v>0</v>
      </c>
      <c r="J53" s="51">
        <f>'FY27'!L53</f>
        <v>0</v>
      </c>
      <c r="K53" s="51">
        <f>'FY28'!L53</f>
        <v>0</v>
      </c>
      <c r="L53" s="51">
        <f>'FY29'!L53</f>
        <v>0</v>
      </c>
      <c r="M53" s="51">
        <f>'FY30'!L53</f>
        <v>0</v>
      </c>
      <c r="N53" s="51">
        <f>'FY31'!L53</f>
        <v>0</v>
      </c>
      <c r="P53" s="51">
        <f>'FY26'!R53</f>
        <v>0</v>
      </c>
      <c r="Q53" s="51">
        <f>'FY27'!R53</f>
        <v>0</v>
      </c>
      <c r="R53" s="51">
        <f>'FY28'!R53</f>
        <v>0</v>
      </c>
      <c r="S53" s="51">
        <f>'FY29'!R53</f>
        <v>0</v>
      </c>
      <c r="T53" s="51">
        <f>'FY30'!R53</f>
        <v>0</v>
      </c>
      <c r="U53" s="51">
        <f>'FY31'!R53</f>
        <v>0</v>
      </c>
      <c r="W53" s="51">
        <f>'FY26'!X53</f>
        <v>0</v>
      </c>
      <c r="X53" s="51">
        <f>'FY27'!X53</f>
        <v>0</v>
      </c>
      <c r="Y53" s="51">
        <f>'FY28'!X53</f>
        <v>0</v>
      </c>
      <c r="Z53" s="51">
        <f>'FY29'!X53</f>
        <v>0</v>
      </c>
      <c r="AA53" s="51">
        <f>'FY30'!X53</f>
        <v>0</v>
      </c>
      <c r="AB53" s="51">
        <f>'FY31'!X53</f>
        <v>0</v>
      </c>
      <c r="AC53" s="193"/>
      <c r="AD53" s="51">
        <f>'FY27'!AD53</f>
        <v>0</v>
      </c>
      <c r="AE53" s="51">
        <f>'FY28'!AD53</f>
        <v>0</v>
      </c>
      <c r="AF53" s="51">
        <f>'FY29'!AD53</f>
        <v>0</v>
      </c>
      <c r="AG53" s="51">
        <f>'FY30'!AD53</f>
        <v>0</v>
      </c>
      <c r="AH53" s="51">
        <f>'FY31'!AD53</f>
        <v>0</v>
      </c>
      <c r="AI53" s="193"/>
      <c r="AJ53" s="51">
        <f>'FY27'!AJ53</f>
        <v>0</v>
      </c>
      <c r="AK53" s="51">
        <f>'FY28'!AJ53</f>
        <v>0</v>
      </c>
      <c r="AL53" s="51">
        <f>'FY29'!AJ53</f>
        <v>0</v>
      </c>
      <c r="AM53" s="51">
        <f>'FY30'!AJ53</f>
        <v>0</v>
      </c>
      <c r="AN53" s="51">
        <f>'FY31'!AJ53</f>
        <v>0</v>
      </c>
      <c r="AP53" s="51">
        <f>'FY26'!AD53</f>
        <v>0</v>
      </c>
      <c r="AQ53" s="51">
        <f>'FY27'!AP53</f>
        <v>0</v>
      </c>
      <c r="AR53" s="51">
        <f>'FY28'!AP53</f>
        <v>0</v>
      </c>
      <c r="AS53" s="51">
        <f>'FY29'!AP53</f>
        <v>0</v>
      </c>
      <c r="AT53" s="51">
        <f>'FY30'!AP53</f>
        <v>0</v>
      </c>
      <c r="AU53" s="51">
        <f>'FY31'!AP53</f>
        <v>0</v>
      </c>
      <c r="AW53" s="51">
        <f>'FY26'!AJ53</f>
        <v>0</v>
      </c>
      <c r="AX53" s="51">
        <f>'FY27'!AV53</f>
        <v>0</v>
      </c>
      <c r="AY53" s="51">
        <f>'FY28'!AV53</f>
        <v>0</v>
      </c>
      <c r="AZ53" s="51">
        <f>'FY29'!AV53</f>
        <v>0</v>
      </c>
      <c r="BA53" s="51">
        <f>'FY30'!AV53</f>
        <v>0</v>
      </c>
      <c r="BB53" s="51">
        <f>'FY31'!AV53</f>
        <v>0</v>
      </c>
    </row>
    <row r="54" spans="1:54" x14ac:dyDescent="0.25">
      <c r="A54" s="14" t="s">
        <v>49</v>
      </c>
      <c r="B54" s="51">
        <f>'FY26'!F54</f>
        <v>1.5</v>
      </c>
      <c r="C54" s="51">
        <f>'FY27'!F54</f>
        <v>1.5</v>
      </c>
      <c r="D54" s="51">
        <f>'FY28'!F54</f>
        <v>1.5</v>
      </c>
      <c r="E54" s="51">
        <f>'FY29'!F54</f>
        <v>1.5</v>
      </c>
      <c r="F54" s="51">
        <f>'FY30'!F54</f>
        <v>1.5</v>
      </c>
      <c r="G54" s="51">
        <f>'FY31'!F54</f>
        <v>1.5</v>
      </c>
      <c r="I54" s="51">
        <f>'FY26'!L54</f>
        <v>1</v>
      </c>
      <c r="J54" s="51">
        <f>'FY27'!L54</f>
        <v>1</v>
      </c>
      <c r="K54" s="51">
        <f>'FY28'!L54</f>
        <v>1</v>
      </c>
      <c r="L54" s="51">
        <f>'FY29'!L54</f>
        <v>1</v>
      </c>
      <c r="M54" s="51">
        <f>'FY30'!L54</f>
        <v>1</v>
      </c>
      <c r="N54" s="51">
        <f>'FY31'!L54</f>
        <v>1</v>
      </c>
      <c r="P54" s="51">
        <f>'FY26'!R54</f>
        <v>1</v>
      </c>
      <c r="Q54" s="51">
        <f>'FY27'!R54</f>
        <v>1</v>
      </c>
      <c r="R54" s="51">
        <f>'FY28'!R54</f>
        <v>1</v>
      </c>
      <c r="S54" s="51">
        <f>'FY29'!R54</f>
        <v>1</v>
      </c>
      <c r="T54" s="51">
        <f>'FY30'!R54</f>
        <v>1</v>
      </c>
      <c r="U54" s="51">
        <f>'FY31'!R54</f>
        <v>1</v>
      </c>
      <c r="W54" s="51">
        <f>'FY26'!X54</f>
        <v>0</v>
      </c>
      <c r="X54" s="51">
        <f>'FY27'!X54</f>
        <v>0</v>
      </c>
      <c r="Y54" s="51">
        <f>'FY28'!X54</f>
        <v>0</v>
      </c>
      <c r="Z54" s="51">
        <f>'FY29'!X54</f>
        <v>0</v>
      </c>
      <c r="AA54" s="51">
        <f>'FY30'!X54</f>
        <v>0</v>
      </c>
      <c r="AB54" s="51">
        <f>'FY31'!X54</f>
        <v>0</v>
      </c>
      <c r="AC54" s="193"/>
      <c r="AD54" s="51">
        <f>'FY27'!AD54</f>
        <v>0</v>
      </c>
      <c r="AE54" s="51">
        <f>'FY28'!AD54</f>
        <v>0</v>
      </c>
      <c r="AF54" s="51">
        <f>'FY29'!AD54</f>
        <v>0</v>
      </c>
      <c r="AG54" s="51">
        <f>'FY30'!AD54</f>
        <v>0</v>
      </c>
      <c r="AH54" s="51">
        <f>'FY31'!AD54</f>
        <v>0</v>
      </c>
      <c r="AI54" s="193"/>
      <c r="AJ54" s="51">
        <f>'FY27'!AJ54</f>
        <v>0</v>
      </c>
      <c r="AK54" s="51">
        <f>'FY28'!AJ54</f>
        <v>0</v>
      </c>
      <c r="AL54" s="51">
        <f>'FY29'!AJ54</f>
        <v>0</v>
      </c>
      <c r="AM54" s="51">
        <f>'FY30'!AJ54</f>
        <v>0</v>
      </c>
      <c r="AN54" s="51">
        <f>'FY31'!AJ54</f>
        <v>0</v>
      </c>
      <c r="AP54" s="51">
        <f>'FY26'!AD54</f>
        <v>0</v>
      </c>
      <c r="AQ54" s="51">
        <f>'FY27'!AP54</f>
        <v>0</v>
      </c>
      <c r="AR54" s="51">
        <f>'FY28'!AP54</f>
        <v>0</v>
      </c>
      <c r="AS54" s="51">
        <f>'FY29'!AP54</f>
        <v>0</v>
      </c>
      <c r="AT54" s="51">
        <f>'FY30'!AP54</f>
        <v>0</v>
      </c>
      <c r="AU54" s="51">
        <f>'FY31'!AP54</f>
        <v>0</v>
      </c>
      <c r="AW54" s="51">
        <f>'FY26'!AJ54</f>
        <v>3.5</v>
      </c>
      <c r="AX54" s="51">
        <f>'FY27'!AV54</f>
        <v>3.5</v>
      </c>
      <c r="AY54" s="51">
        <f>'FY28'!AV54</f>
        <v>3.5</v>
      </c>
      <c r="AZ54" s="51">
        <f>'FY29'!AV54</f>
        <v>3.5</v>
      </c>
      <c r="BA54" s="51">
        <f>'FY30'!AV54</f>
        <v>3.5</v>
      </c>
      <c r="BB54" s="51">
        <f>'FY31'!AV54</f>
        <v>3.5</v>
      </c>
    </row>
    <row r="55" spans="1:54" x14ac:dyDescent="0.25">
      <c r="A55" s="14" t="s">
        <v>50</v>
      </c>
      <c r="B55" s="51">
        <f>'FY26'!F55</f>
        <v>1</v>
      </c>
      <c r="C55" s="51">
        <f>'FY27'!F55</f>
        <v>1</v>
      </c>
      <c r="D55" s="51">
        <f>'FY28'!F55</f>
        <v>1</v>
      </c>
      <c r="E55" s="51">
        <f>'FY29'!F55</f>
        <v>1</v>
      </c>
      <c r="F55" s="51">
        <f>'FY30'!F55</f>
        <v>1</v>
      </c>
      <c r="G55" s="51">
        <f>'FY31'!F55</f>
        <v>1</v>
      </c>
      <c r="I55" s="51">
        <f>'FY26'!L55</f>
        <v>1</v>
      </c>
      <c r="J55" s="51">
        <f>'FY27'!L55</f>
        <v>1</v>
      </c>
      <c r="K55" s="51">
        <f>'FY28'!L55</f>
        <v>1</v>
      </c>
      <c r="L55" s="51">
        <f>'FY29'!L55</f>
        <v>1</v>
      </c>
      <c r="M55" s="51">
        <f>'FY30'!L55</f>
        <v>1</v>
      </c>
      <c r="N55" s="51">
        <f>'FY31'!L55</f>
        <v>1</v>
      </c>
      <c r="P55" s="51">
        <f>'FY26'!R55</f>
        <v>1</v>
      </c>
      <c r="Q55" s="51">
        <f>'FY27'!R55</f>
        <v>1</v>
      </c>
      <c r="R55" s="51">
        <f>'FY28'!R55</f>
        <v>1</v>
      </c>
      <c r="S55" s="51">
        <f>'FY29'!R55</f>
        <v>1</v>
      </c>
      <c r="T55" s="51">
        <f>'FY30'!R55</f>
        <v>1</v>
      </c>
      <c r="U55" s="51">
        <f>'FY31'!R55</f>
        <v>1</v>
      </c>
      <c r="W55" s="51">
        <f>'FY26'!X55</f>
        <v>0</v>
      </c>
      <c r="X55" s="51">
        <f>'FY27'!X55</f>
        <v>0</v>
      </c>
      <c r="Y55" s="51">
        <f>'FY28'!X55</f>
        <v>0</v>
      </c>
      <c r="Z55" s="51">
        <f>'FY29'!X55</f>
        <v>0</v>
      </c>
      <c r="AA55" s="51">
        <f>'FY30'!X55</f>
        <v>0</v>
      </c>
      <c r="AB55" s="51">
        <f>'FY31'!X55</f>
        <v>0</v>
      </c>
      <c r="AC55" s="193"/>
      <c r="AD55" s="51">
        <f>'FY27'!AD55</f>
        <v>0</v>
      </c>
      <c r="AE55" s="51">
        <f>'FY28'!AD55</f>
        <v>0</v>
      </c>
      <c r="AF55" s="51">
        <f>'FY29'!AD55</f>
        <v>0</v>
      </c>
      <c r="AG55" s="51">
        <f>'FY30'!AD55</f>
        <v>0</v>
      </c>
      <c r="AH55" s="51">
        <f>'FY31'!AD55</f>
        <v>0</v>
      </c>
      <c r="AI55" s="193"/>
      <c r="AJ55" s="51">
        <f>'FY27'!AJ55</f>
        <v>0</v>
      </c>
      <c r="AK55" s="51">
        <f>'FY28'!AJ55</f>
        <v>0</v>
      </c>
      <c r="AL55" s="51">
        <f>'FY29'!AJ55</f>
        <v>0</v>
      </c>
      <c r="AM55" s="51">
        <f>'FY30'!AJ55</f>
        <v>0</v>
      </c>
      <c r="AN55" s="51">
        <f>'FY31'!AJ55</f>
        <v>0</v>
      </c>
      <c r="AP55" s="51">
        <f>'FY26'!AD55</f>
        <v>0</v>
      </c>
      <c r="AQ55" s="51">
        <f>'FY27'!AP55</f>
        <v>0</v>
      </c>
      <c r="AR55" s="51">
        <f>'FY28'!AP55</f>
        <v>0</v>
      </c>
      <c r="AS55" s="51">
        <f>'FY29'!AP55</f>
        <v>0</v>
      </c>
      <c r="AT55" s="51">
        <f>'FY30'!AP55</f>
        <v>0</v>
      </c>
      <c r="AU55" s="51">
        <f>'FY31'!AP55</f>
        <v>0</v>
      </c>
      <c r="AW55" s="51">
        <f>'FY26'!AJ55</f>
        <v>3</v>
      </c>
      <c r="AX55" s="51">
        <f>'FY27'!AV55</f>
        <v>3</v>
      </c>
      <c r="AY55" s="51">
        <f>'FY28'!AV55</f>
        <v>3</v>
      </c>
      <c r="AZ55" s="51">
        <f>'FY29'!AV55</f>
        <v>3</v>
      </c>
      <c r="BA55" s="51">
        <f>'FY30'!AV55</f>
        <v>3</v>
      </c>
      <c r="BB55" s="51">
        <f>'FY31'!AV55</f>
        <v>3</v>
      </c>
    </row>
    <row r="56" spans="1:54" x14ac:dyDescent="0.25">
      <c r="A56" s="14" t="s">
        <v>51</v>
      </c>
      <c r="B56" s="51">
        <f>'FY26'!F56</f>
        <v>0.5</v>
      </c>
      <c r="C56" s="51">
        <f>'FY27'!F56</f>
        <v>0.5</v>
      </c>
      <c r="D56" s="51">
        <f>'FY28'!F56</f>
        <v>0.5</v>
      </c>
      <c r="E56" s="51">
        <f>'FY29'!F56</f>
        <v>0.5</v>
      </c>
      <c r="F56" s="51">
        <f>'FY30'!F56</f>
        <v>0.5</v>
      </c>
      <c r="G56" s="51">
        <f>'FY31'!F56</f>
        <v>0.5</v>
      </c>
      <c r="I56" s="51">
        <f>'FY26'!L56</f>
        <v>0.5</v>
      </c>
      <c r="J56" s="51">
        <f>'FY27'!L56</f>
        <v>0.5</v>
      </c>
      <c r="K56" s="51">
        <f>'FY28'!L56</f>
        <v>0.5</v>
      </c>
      <c r="L56" s="51">
        <f>'FY29'!L56</f>
        <v>0.5</v>
      </c>
      <c r="M56" s="51">
        <f>'FY30'!L56</f>
        <v>0.5</v>
      </c>
      <c r="N56" s="51">
        <f>'FY31'!L56</f>
        <v>0.5</v>
      </c>
      <c r="P56" s="51">
        <f>'FY26'!R56</f>
        <v>1</v>
      </c>
      <c r="Q56" s="51">
        <f>'FY27'!R56</f>
        <v>1</v>
      </c>
      <c r="R56" s="51">
        <f>'FY28'!R56</f>
        <v>1</v>
      </c>
      <c r="S56" s="51">
        <f>'FY29'!R56</f>
        <v>1</v>
      </c>
      <c r="T56" s="51">
        <f>'FY30'!R56</f>
        <v>1</v>
      </c>
      <c r="U56" s="51">
        <f>'FY31'!R56</f>
        <v>1</v>
      </c>
      <c r="W56" s="51">
        <f>'FY26'!X56</f>
        <v>0</v>
      </c>
      <c r="X56" s="51">
        <f>'FY27'!X56</f>
        <v>0</v>
      </c>
      <c r="Y56" s="51">
        <f>'FY28'!X56</f>
        <v>0</v>
      </c>
      <c r="Z56" s="51">
        <f>'FY29'!X56</f>
        <v>0</v>
      </c>
      <c r="AA56" s="51">
        <f>'FY30'!X56</f>
        <v>0</v>
      </c>
      <c r="AB56" s="51">
        <f>'FY31'!X56</f>
        <v>0</v>
      </c>
      <c r="AC56" s="193"/>
      <c r="AD56" s="51">
        <f>'FY27'!AD56</f>
        <v>0</v>
      </c>
      <c r="AE56" s="51">
        <f>'FY28'!AD56</f>
        <v>0</v>
      </c>
      <c r="AF56" s="51">
        <f>'FY29'!AD56</f>
        <v>0</v>
      </c>
      <c r="AG56" s="51">
        <f>'FY30'!AD56</f>
        <v>0</v>
      </c>
      <c r="AH56" s="51">
        <f>'FY31'!AD56</f>
        <v>0</v>
      </c>
      <c r="AI56" s="193"/>
      <c r="AJ56" s="51">
        <f>'FY27'!AJ56</f>
        <v>0</v>
      </c>
      <c r="AK56" s="51">
        <f>'FY28'!AJ56</f>
        <v>0</v>
      </c>
      <c r="AL56" s="51">
        <f>'FY29'!AJ56</f>
        <v>0</v>
      </c>
      <c r="AM56" s="51">
        <f>'FY30'!AJ56</f>
        <v>0</v>
      </c>
      <c r="AN56" s="51">
        <f>'FY31'!AJ56</f>
        <v>0</v>
      </c>
      <c r="AP56" s="51">
        <f>'FY26'!AD56</f>
        <v>2</v>
      </c>
      <c r="AQ56" s="51">
        <f>'FY27'!AP56</f>
        <v>2</v>
      </c>
      <c r="AR56" s="51">
        <f>'FY28'!AP56</f>
        <v>2</v>
      </c>
      <c r="AS56" s="51">
        <f>'FY29'!AP56</f>
        <v>2</v>
      </c>
      <c r="AT56" s="51">
        <f>'FY30'!AP56</f>
        <v>2</v>
      </c>
      <c r="AU56" s="51">
        <f>'FY31'!AP56</f>
        <v>2</v>
      </c>
      <c r="AW56" s="51">
        <f>'FY26'!AJ56</f>
        <v>4</v>
      </c>
      <c r="AX56" s="51">
        <f>'FY27'!AV56</f>
        <v>4</v>
      </c>
      <c r="AY56" s="51">
        <f>'FY28'!AV56</f>
        <v>4</v>
      </c>
      <c r="AZ56" s="51">
        <f>'FY29'!AV56</f>
        <v>4</v>
      </c>
      <c r="BA56" s="51">
        <f>'FY30'!AV56</f>
        <v>4</v>
      </c>
      <c r="BB56" s="51">
        <f>'FY31'!AV56</f>
        <v>4</v>
      </c>
    </row>
    <row r="57" spans="1:54" x14ac:dyDescent="0.25">
      <c r="A57" s="14" t="s">
        <v>52</v>
      </c>
      <c r="B57" s="51">
        <f>'FY26'!F57</f>
        <v>0</v>
      </c>
      <c r="C57" s="51">
        <f>'FY27'!F57</f>
        <v>0</v>
      </c>
      <c r="D57" s="51">
        <f>'FY28'!F57</f>
        <v>0</v>
      </c>
      <c r="E57" s="51">
        <f>'FY29'!F57</f>
        <v>0</v>
      </c>
      <c r="F57" s="51">
        <f>'FY30'!F57</f>
        <v>0</v>
      </c>
      <c r="G57" s="51">
        <f>'FY31'!F57</f>
        <v>0</v>
      </c>
      <c r="I57" s="51">
        <f>'FY26'!L57</f>
        <v>0</v>
      </c>
      <c r="J57" s="51">
        <f>'FY27'!L57</f>
        <v>0</v>
      </c>
      <c r="K57" s="51">
        <f>'FY28'!L57</f>
        <v>0</v>
      </c>
      <c r="L57" s="51">
        <f>'FY29'!L57</f>
        <v>0</v>
      </c>
      <c r="M57" s="51">
        <f>'FY30'!L57</f>
        <v>0</v>
      </c>
      <c r="N57" s="51">
        <f>'FY31'!L57</f>
        <v>0</v>
      </c>
      <c r="P57" s="51">
        <f>'FY26'!R57</f>
        <v>0</v>
      </c>
      <c r="Q57" s="51">
        <f>'FY27'!R57</f>
        <v>0</v>
      </c>
      <c r="R57" s="51">
        <f>'FY28'!R57</f>
        <v>0</v>
      </c>
      <c r="S57" s="51">
        <f>'FY29'!R57</f>
        <v>0</v>
      </c>
      <c r="T57" s="51">
        <f>'FY30'!R57</f>
        <v>0</v>
      </c>
      <c r="U57" s="51">
        <f>'FY31'!R57</f>
        <v>0</v>
      </c>
      <c r="W57" s="51">
        <f>'FY26'!X57</f>
        <v>0</v>
      </c>
      <c r="X57" s="51">
        <f>'FY27'!X57</f>
        <v>0</v>
      </c>
      <c r="Y57" s="51">
        <f>'FY28'!X57</f>
        <v>0</v>
      </c>
      <c r="Z57" s="51">
        <f>'FY29'!X57</f>
        <v>0</v>
      </c>
      <c r="AA57" s="51">
        <f>'FY30'!X57</f>
        <v>0</v>
      </c>
      <c r="AB57" s="51">
        <f>'FY31'!X57</f>
        <v>0</v>
      </c>
      <c r="AC57" s="193"/>
      <c r="AD57" s="51">
        <f>'FY27'!AD57</f>
        <v>0</v>
      </c>
      <c r="AE57" s="51">
        <f>'FY28'!AD57</f>
        <v>0</v>
      </c>
      <c r="AF57" s="51">
        <f>'FY29'!AD57</f>
        <v>0</v>
      </c>
      <c r="AG57" s="51">
        <f>'FY30'!AD57</f>
        <v>0</v>
      </c>
      <c r="AH57" s="51">
        <f>'FY31'!AD57</f>
        <v>0</v>
      </c>
      <c r="AI57" s="193"/>
      <c r="AJ57" s="51">
        <f>'FY27'!AJ57</f>
        <v>0</v>
      </c>
      <c r="AK57" s="51">
        <f>'FY28'!AJ57</f>
        <v>0</v>
      </c>
      <c r="AL57" s="51">
        <f>'FY29'!AJ57</f>
        <v>0</v>
      </c>
      <c r="AM57" s="51">
        <f>'FY30'!AJ57</f>
        <v>0</v>
      </c>
      <c r="AN57" s="51">
        <f>'FY31'!AJ57</f>
        <v>0</v>
      </c>
      <c r="AP57" s="51">
        <f>'FY26'!AD57</f>
        <v>0</v>
      </c>
      <c r="AQ57" s="51">
        <f>'FY27'!AP57</f>
        <v>0</v>
      </c>
      <c r="AR57" s="51">
        <f>'FY28'!AP57</f>
        <v>0</v>
      </c>
      <c r="AS57" s="51">
        <f>'FY29'!AP57</f>
        <v>0</v>
      </c>
      <c r="AT57" s="51">
        <f>'FY30'!AP57</f>
        <v>0</v>
      </c>
      <c r="AU57" s="51">
        <f>'FY31'!AP57</f>
        <v>0</v>
      </c>
      <c r="AW57" s="51">
        <f>'FY26'!AJ57</f>
        <v>0</v>
      </c>
      <c r="AX57" s="51">
        <f>'FY27'!AV57</f>
        <v>0</v>
      </c>
      <c r="AY57" s="51">
        <f>'FY28'!AV57</f>
        <v>0</v>
      </c>
      <c r="AZ57" s="51">
        <f>'FY29'!AV57</f>
        <v>0</v>
      </c>
      <c r="BA57" s="51">
        <f>'FY30'!AV57</f>
        <v>0</v>
      </c>
      <c r="BB57" s="51">
        <f>'FY31'!AV57</f>
        <v>0</v>
      </c>
    </row>
    <row r="58" spans="1:54" x14ac:dyDescent="0.25">
      <c r="A58" s="14" t="s">
        <v>53</v>
      </c>
      <c r="B58" s="51">
        <f>'FY26'!F58</f>
        <v>0</v>
      </c>
      <c r="C58" s="51">
        <f>'FY27'!F58</f>
        <v>0</v>
      </c>
      <c r="D58" s="51">
        <f>'FY28'!F58</f>
        <v>0</v>
      </c>
      <c r="E58" s="51">
        <f>'FY29'!F58</f>
        <v>0</v>
      </c>
      <c r="F58" s="51">
        <f>'FY30'!F58</f>
        <v>0</v>
      </c>
      <c r="G58" s="51">
        <f>'FY31'!F58</f>
        <v>0</v>
      </c>
      <c r="I58" s="51">
        <f>'FY26'!L58</f>
        <v>0</v>
      </c>
      <c r="J58" s="51">
        <f>'FY27'!L58</f>
        <v>0</v>
      </c>
      <c r="K58" s="51">
        <f>'FY28'!L58</f>
        <v>0</v>
      </c>
      <c r="L58" s="51">
        <f>'FY29'!L58</f>
        <v>0</v>
      </c>
      <c r="M58" s="51">
        <f>'FY30'!L58</f>
        <v>0</v>
      </c>
      <c r="N58" s="51">
        <f>'FY31'!L58</f>
        <v>0</v>
      </c>
      <c r="P58" s="51">
        <f>'FY26'!R58</f>
        <v>1</v>
      </c>
      <c r="Q58" s="51">
        <f>'FY27'!R58</f>
        <v>1</v>
      </c>
      <c r="R58" s="51">
        <f>'FY28'!R58</f>
        <v>1</v>
      </c>
      <c r="S58" s="51">
        <f>'FY29'!R58</f>
        <v>1</v>
      </c>
      <c r="T58" s="51">
        <f>'FY30'!R58</f>
        <v>1</v>
      </c>
      <c r="U58" s="51">
        <f>'FY31'!R58</f>
        <v>1</v>
      </c>
      <c r="W58" s="51">
        <f>'FY26'!X58</f>
        <v>0</v>
      </c>
      <c r="X58" s="51">
        <f>'FY27'!X58</f>
        <v>0</v>
      </c>
      <c r="Y58" s="51">
        <f>'FY28'!X58</f>
        <v>0</v>
      </c>
      <c r="Z58" s="51">
        <f>'FY29'!X58</f>
        <v>0</v>
      </c>
      <c r="AA58" s="51">
        <f>'FY30'!X58</f>
        <v>0</v>
      </c>
      <c r="AB58" s="51">
        <f>'FY31'!X58</f>
        <v>0</v>
      </c>
      <c r="AC58" s="193"/>
      <c r="AD58" s="51">
        <f>'FY27'!AD58</f>
        <v>0</v>
      </c>
      <c r="AE58" s="51">
        <f>'FY28'!AD58</f>
        <v>0</v>
      </c>
      <c r="AF58" s="51">
        <f>'FY29'!AD58</f>
        <v>0</v>
      </c>
      <c r="AG58" s="51">
        <f>'FY30'!AD58</f>
        <v>0</v>
      </c>
      <c r="AH58" s="51">
        <f>'FY31'!AD58</f>
        <v>0</v>
      </c>
      <c r="AI58" s="193"/>
      <c r="AJ58" s="51">
        <f>'FY27'!AJ58</f>
        <v>0</v>
      </c>
      <c r="AK58" s="51">
        <f>'FY28'!AJ58</f>
        <v>0</v>
      </c>
      <c r="AL58" s="51">
        <f>'FY29'!AJ58</f>
        <v>0</v>
      </c>
      <c r="AM58" s="51">
        <f>'FY30'!AJ58</f>
        <v>0</v>
      </c>
      <c r="AN58" s="51">
        <f>'FY31'!AJ58</f>
        <v>0</v>
      </c>
      <c r="AP58" s="51">
        <f>'FY26'!AD58</f>
        <v>0</v>
      </c>
      <c r="AQ58" s="51">
        <f>'FY27'!AP58</f>
        <v>0</v>
      </c>
      <c r="AR58" s="51">
        <f>'FY28'!AP58</f>
        <v>0</v>
      </c>
      <c r="AS58" s="51">
        <f>'FY29'!AP58</f>
        <v>0</v>
      </c>
      <c r="AT58" s="51">
        <f>'FY30'!AP58</f>
        <v>0</v>
      </c>
      <c r="AU58" s="51">
        <f>'FY31'!AP58</f>
        <v>0</v>
      </c>
      <c r="AW58" s="51">
        <f>'FY26'!AJ58</f>
        <v>1</v>
      </c>
      <c r="AX58" s="51">
        <f>'FY27'!AV58</f>
        <v>1</v>
      </c>
      <c r="AY58" s="51">
        <f>'FY28'!AV58</f>
        <v>1</v>
      </c>
      <c r="AZ58" s="51">
        <f>'FY29'!AV58</f>
        <v>1</v>
      </c>
      <c r="BA58" s="51">
        <f>'FY30'!AV58</f>
        <v>1</v>
      </c>
      <c r="BB58" s="51">
        <f>'FY31'!AV58</f>
        <v>1</v>
      </c>
    </row>
    <row r="59" spans="1:54" x14ac:dyDescent="0.25">
      <c r="A59" s="14" t="s">
        <v>54</v>
      </c>
      <c r="B59" s="51">
        <f>'FY26'!F59</f>
        <v>2</v>
      </c>
      <c r="C59" s="51">
        <f>'FY27'!F59</f>
        <v>2</v>
      </c>
      <c r="D59" s="51">
        <f>'FY28'!F59</f>
        <v>2</v>
      </c>
      <c r="E59" s="51">
        <f>'FY29'!F59</f>
        <v>2</v>
      </c>
      <c r="F59" s="51">
        <f>'FY30'!F59</f>
        <v>2</v>
      </c>
      <c r="G59" s="51">
        <f>'FY31'!F59</f>
        <v>2</v>
      </c>
      <c r="I59" s="51">
        <f>'FY26'!L59</f>
        <v>1</v>
      </c>
      <c r="J59" s="51">
        <f>'FY27'!L59</f>
        <v>1</v>
      </c>
      <c r="K59" s="51">
        <f>'FY28'!L59</f>
        <v>1</v>
      </c>
      <c r="L59" s="51">
        <f>'FY29'!L59</f>
        <v>1</v>
      </c>
      <c r="M59" s="51">
        <f>'FY30'!L59</f>
        <v>1</v>
      </c>
      <c r="N59" s="51">
        <f>'FY31'!L59</f>
        <v>1</v>
      </c>
      <c r="P59" s="51">
        <f>'FY26'!R59</f>
        <v>3</v>
      </c>
      <c r="Q59" s="51">
        <f>'FY27'!R59</f>
        <v>3</v>
      </c>
      <c r="R59" s="51">
        <f>'FY28'!R59</f>
        <v>3</v>
      </c>
      <c r="S59" s="51">
        <f>'FY29'!R59</f>
        <v>3</v>
      </c>
      <c r="T59" s="51">
        <f>'FY30'!R59</f>
        <v>3</v>
      </c>
      <c r="U59" s="51">
        <f>'FY31'!R59</f>
        <v>3</v>
      </c>
      <c r="W59" s="51">
        <f>'FY26'!X59</f>
        <v>0</v>
      </c>
      <c r="X59" s="51">
        <f>'FY27'!X59</f>
        <v>0</v>
      </c>
      <c r="Y59" s="51">
        <f>'FY28'!X59</f>
        <v>0</v>
      </c>
      <c r="Z59" s="51">
        <f>'FY29'!X59</f>
        <v>0</v>
      </c>
      <c r="AA59" s="51">
        <f>'FY30'!X59</f>
        <v>0</v>
      </c>
      <c r="AB59" s="51">
        <f>'FY31'!X59</f>
        <v>0</v>
      </c>
      <c r="AC59" s="193"/>
      <c r="AD59" s="51">
        <f>'FY27'!AD59</f>
        <v>0</v>
      </c>
      <c r="AE59" s="51">
        <f>'FY28'!AD59</f>
        <v>0</v>
      </c>
      <c r="AF59" s="51">
        <f>'FY29'!AD59</f>
        <v>0</v>
      </c>
      <c r="AG59" s="51">
        <f>'FY30'!AD59</f>
        <v>0</v>
      </c>
      <c r="AH59" s="51">
        <f>'FY31'!AD59</f>
        <v>0</v>
      </c>
      <c r="AI59" s="193"/>
      <c r="AJ59" s="51">
        <f>'FY27'!AJ59</f>
        <v>0</v>
      </c>
      <c r="AK59" s="51">
        <f>'FY28'!AJ59</f>
        <v>0</v>
      </c>
      <c r="AL59" s="51">
        <f>'FY29'!AJ59</f>
        <v>0</v>
      </c>
      <c r="AM59" s="51">
        <f>'FY30'!AJ59</f>
        <v>0</v>
      </c>
      <c r="AN59" s="51">
        <f>'FY31'!AJ59</f>
        <v>0</v>
      </c>
      <c r="AP59" s="51">
        <f>'FY26'!AD59</f>
        <v>0</v>
      </c>
      <c r="AQ59" s="51">
        <f>'FY27'!AP59</f>
        <v>0</v>
      </c>
      <c r="AR59" s="51">
        <f>'FY28'!AP59</f>
        <v>0</v>
      </c>
      <c r="AS59" s="51">
        <f>'FY29'!AP59</f>
        <v>0</v>
      </c>
      <c r="AT59" s="51">
        <f>'FY30'!AP59</f>
        <v>0</v>
      </c>
      <c r="AU59" s="51">
        <f>'FY31'!AP59</f>
        <v>0</v>
      </c>
      <c r="AW59" s="51">
        <f>'FY26'!AJ59</f>
        <v>6</v>
      </c>
      <c r="AX59" s="51">
        <f>'FY27'!AV59</f>
        <v>6</v>
      </c>
      <c r="AY59" s="51">
        <f>'FY28'!AV59</f>
        <v>6</v>
      </c>
      <c r="AZ59" s="51">
        <f>'FY29'!AV59</f>
        <v>6</v>
      </c>
      <c r="BA59" s="51">
        <f>'FY30'!AV59</f>
        <v>6</v>
      </c>
      <c r="BB59" s="51">
        <f>'FY31'!AV59</f>
        <v>6</v>
      </c>
    </row>
    <row r="60" spans="1:54" x14ac:dyDescent="0.25">
      <c r="A60" s="11" t="s">
        <v>55</v>
      </c>
      <c r="B60" s="51">
        <f>'FY26'!F60</f>
        <v>1</v>
      </c>
      <c r="C60" s="51">
        <f>'FY27'!F60</f>
        <v>1</v>
      </c>
      <c r="D60" s="51">
        <f>'FY28'!F60</f>
        <v>1</v>
      </c>
      <c r="E60" s="51">
        <f>'FY29'!F60</f>
        <v>1</v>
      </c>
      <c r="F60" s="51">
        <f>'FY30'!F60</f>
        <v>1</v>
      </c>
      <c r="G60" s="51">
        <f>'FY31'!F60</f>
        <v>1</v>
      </c>
      <c r="I60" s="51">
        <f>'FY26'!L60</f>
        <v>1</v>
      </c>
      <c r="J60" s="51">
        <f>'FY27'!L60</f>
        <v>1</v>
      </c>
      <c r="K60" s="51">
        <f>'FY28'!L60</f>
        <v>1</v>
      </c>
      <c r="L60" s="51">
        <f>'FY29'!L60</f>
        <v>1</v>
      </c>
      <c r="M60" s="51">
        <f>'FY30'!L60</f>
        <v>1</v>
      </c>
      <c r="N60" s="51">
        <f>'FY31'!L60</f>
        <v>1</v>
      </c>
      <c r="P60" s="51">
        <f>'FY26'!R60</f>
        <v>1</v>
      </c>
      <c r="Q60" s="51">
        <f>'FY27'!R60</f>
        <v>1</v>
      </c>
      <c r="R60" s="51">
        <f>'FY28'!R60</f>
        <v>1</v>
      </c>
      <c r="S60" s="51">
        <f>'FY29'!R60</f>
        <v>1</v>
      </c>
      <c r="T60" s="51">
        <f>'FY30'!R60</f>
        <v>1</v>
      </c>
      <c r="U60" s="51">
        <f>'FY31'!R60</f>
        <v>1</v>
      </c>
      <c r="W60" s="51">
        <f>'FY26'!X60</f>
        <v>0</v>
      </c>
      <c r="X60" s="51">
        <f>'FY27'!X60</f>
        <v>0</v>
      </c>
      <c r="Y60" s="51">
        <f>'FY28'!X60</f>
        <v>0</v>
      </c>
      <c r="Z60" s="51">
        <f>'FY29'!X60</f>
        <v>0</v>
      </c>
      <c r="AA60" s="51">
        <f>'FY30'!X60</f>
        <v>0</v>
      </c>
      <c r="AB60" s="51">
        <f>'FY31'!X60</f>
        <v>0</v>
      </c>
      <c r="AC60" s="193"/>
      <c r="AD60" s="51">
        <f>'FY27'!AD60</f>
        <v>0</v>
      </c>
      <c r="AE60" s="51">
        <f>'FY28'!AD60</f>
        <v>0</v>
      </c>
      <c r="AF60" s="51">
        <f>'FY29'!AD60</f>
        <v>0</v>
      </c>
      <c r="AG60" s="51">
        <f>'FY30'!AD60</f>
        <v>0</v>
      </c>
      <c r="AH60" s="51">
        <f>'FY31'!AD60</f>
        <v>0</v>
      </c>
      <c r="AI60" s="193"/>
      <c r="AJ60" s="51">
        <f>'FY27'!AJ60</f>
        <v>0</v>
      </c>
      <c r="AK60" s="51">
        <f>'FY28'!AJ60</f>
        <v>0</v>
      </c>
      <c r="AL60" s="51">
        <f>'FY29'!AJ60</f>
        <v>0</v>
      </c>
      <c r="AM60" s="51">
        <f>'FY30'!AJ60</f>
        <v>0</v>
      </c>
      <c r="AN60" s="51">
        <f>'FY31'!AJ60</f>
        <v>0</v>
      </c>
      <c r="AP60" s="51">
        <f>'FY26'!AD60</f>
        <v>0</v>
      </c>
      <c r="AQ60" s="51">
        <f>'FY27'!AP60</f>
        <v>0</v>
      </c>
      <c r="AR60" s="51">
        <f>'FY28'!AP60</f>
        <v>0</v>
      </c>
      <c r="AS60" s="51">
        <f>'FY29'!AP60</f>
        <v>0</v>
      </c>
      <c r="AT60" s="51">
        <f>'FY30'!AP60</f>
        <v>0</v>
      </c>
      <c r="AU60" s="51">
        <f>'FY31'!AP60</f>
        <v>0</v>
      </c>
      <c r="AW60" s="51">
        <f>'FY26'!AJ60</f>
        <v>3</v>
      </c>
      <c r="AX60" s="51">
        <f>'FY27'!AV60</f>
        <v>3</v>
      </c>
      <c r="AY60" s="51">
        <f>'FY28'!AV60</f>
        <v>3</v>
      </c>
      <c r="AZ60" s="51">
        <f>'FY29'!AV60</f>
        <v>3</v>
      </c>
      <c r="BA60" s="51">
        <f>'FY30'!AV60</f>
        <v>3</v>
      </c>
      <c r="BB60" s="51">
        <f>'FY31'!AV60</f>
        <v>3</v>
      </c>
    </row>
    <row r="61" spans="1:54" x14ac:dyDescent="0.25">
      <c r="A61" s="9" t="s">
        <v>56</v>
      </c>
      <c r="B61" s="52">
        <f>'FY26'!F61</f>
        <v>46</v>
      </c>
      <c r="C61" s="52">
        <f>'FY27'!F61</f>
        <v>45</v>
      </c>
      <c r="D61" s="52">
        <f>'FY28'!F61</f>
        <v>44</v>
      </c>
      <c r="E61" s="52">
        <f>'FY29'!F61</f>
        <v>45</v>
      </c>
      <c r="F61" s="52">
        <f>'FY30'!F61</f>
        <v>44</v>
      </c>
      <c r="G61" s="52">
        <f>'FY31'!F61</f>
        <v>43.5</v>
      </c>
      <c r="I61" s="52">
        <f>'FY26'!L61</f>
        <v>43.5</v>
      </c>
      <c r="J61" s="52">
        <f>'FY27'!L61</f>
        <v>42.5</v>
      </c>
      <c r="K61" s="52">
        <f>'FY28'!L61</f>
        <v>41.5</v>
      </c>
      <c r="L61" s="52">
        <f>'FY29'!L61</f>
        <v>42.5</v>
      </c>
      <c r="M61" s="52">
        <f>'FY30'!L61</f>
        <v>41.5</v>
      </c>
      <c r="N61" s="52">
        <f>'FY31'!L61</f>
        <v>41</v>
      </c>
      <c r="P61" s="52">
        <f>'FY26'!R61</f>
        <v>83</v>
      </c>
      <c r="Q61" s="52">
        <f>'FY27'!R61</f>
        <v>83</v>
      </c>
      <c r="R61" s="52">
        <f>'FY28'!R61</f>
        <v>82</v>
      </c>
      <c r="S61" s="52">
        <f>'FY29'!R61</f>
        <v>83</v>
      </c>
      <c r="T61" s="52">
        <f>'FY30'!R61</f>
        <v>84</v>
      </c>
      <c r="U61" s="52">
        <f>'FY31'!R61</f>
        <v>83.5</v>
      </c>
      <c r="W61" s="52">
        <f>'FY26'!X61</f>
        <v>14.5</v>
      </c>
      <c r="X61" s="52">
        <f>'FY27'!X61</f>
        <v>11.5</v>
      </c>
      <c r="Y61" s="52">
        <f>'FY28'!X61</f>
        <v>12.5</v>
      </c>
      <c r="Z61" s="52">
        <f>'FY29'!X61</f>
        <v>11.5</v>
      </c>
      <c r="AA61" s="52">
        <f>'FY30'!X61</f>
        <v>11.5</v>
      </c>
      <c r="AB61" s="52">
        <f>'FY31'!X61</f>
        <v>11.5</v>
      </c>
      <c r="AC61" s="197"/>
      <c r="AD61" s="52">
        <f>'FY27'!AD61</f>
        <v>10</v>
      </c>
      <c r="AE61" s="52">
        <f>'FY28'!AD61</f>
        <v>14.5</v>
      </c>
      <c r="AF61" s="52">
        <f>'FY29'!AD61</f>
        <v>22</v>
      </c>
      <c r="AG61" s="52">
        <f>'FY30'!AD61</f>
        <v>27.5</v>
      </c>
      <c r="AH61" s="52">
        <f>'FY31'!AD61</f>
        <v>33</v>
      </c>
      <c r="AI61" s="197"/>
      <c r="AJ61" s="52">
        <f>'FY27'!AJ61</f>
        <v>0</v>
      </c>
      <c r="AK61" s="52">
        <f>'FY28'!AJ61</f>
        <v>16</v>
      </c>
      <c r="AL61" s="52">
        <f>'FY29'!AJ61</f>
        <v>24</v>
      </c>
      <c r="AM61" s="52">
        <f>'FY30'!AJ61</f>
        <v>28</v>
      </c>
      <c r="AN61" s="52">
        <f>'FY31'!AJ61</f>
        <v>30</v>
      </c>
      <c r="AP61" s="52">
        <f>'FY26'!AD61</f>
        <v>36</v>
      </c>
      <c r="AQ61" s="52">
        <f>'FY27'!AP61</f>
        <v>36</v>
      </c>
      <c r="AR61" s="52">
        <f>'FY28'!AP61</f>
        <v>36</v>
      </c>
      <c r="AS61" s="52">
        <f>'FY29'!AP61</f>
        <v>34</v>
      </c>
      <c r="AT61" s="52">
        <f>'FY30'!AP61</f>
        <v>34</v>
      </c>
      <c r="AU61" s="52">
        <f>'FY31'!AP61</f>
        <v>34</v>
      </c>
      <c r="AW61" s="52">
        <f>'FY26'!AJ61</f>
        <v>223</v>
      </c>
      <c r="AX61" s="52">
        <f>'FY27'!AV61</f>
        <v>228</v>
      </c>
      <c r="AY61" s="52">
        <f>'FY28'!AV61</f>
        <v>246.5</v>
      </c>
      <c r="AZ61" s="52">
        <f>'FY29'!AV61</f>
        <v>262</v>
      </c>
      <c r="BA61" s="52">
        <f>'FY30'!AV61</f>
        <v>270.5</v>
      </c>
      <c r="BB61" s="52">
        <f>'FY31'!AV61</f>
        <v>276.5</v>
      </c>
    </row>
    <row r="62" spans="1:54" ht="16.5" thickBot="1" x14ac:dyDescent="0.3">
      <c r="A62" s="15"/>
      <c r="B62" s="53">
        <f>'FY26'!F62</f>
        <v>0</v>
      </c>
      <c r="C62" s="53">
        <f>'FY27'!F62</f>
        <v>0</v>
      </c>
      <c r="D62" s="53">
        <f>'FY28'!F62</f>
        <v>0</v>
      </c>
      <c r="E62" s="53">
        <f>'FY29'!F62</f>
        <v>0</v>
      </c>
      <c r="F62" s="53">
        <f>'FY30'!F62</f>
        <v>0</v>
      </c>
      <c r="G62" s="53">
        <f>'FY31'!F62</f>
        <v>0</v>
      </c>
      <c r="I62" s="53">
        <f>'FY26'!L62</f>
        <v>0</v>
      </c>
      <c r="J62" s="53">
        <f>'FY27'!L62</f>
        <v>0</v>
      </c>
      <c r="K62" s="53">
        <f>'FY28'!L62</f>
        <v>0</v>
      </c>
      <c r="L62" s="53">
        <f>'FY29'!L62</f>
        <v>0</v>
      </c>
      <c r="M62" s="53">
        <f>'FY30'!L62</f>
        <v>0</v>
      </c>
      <c r="N62" s="53">
        <f>'FY31'!L62</f>
        <v>0</v>
      </c>
      <c r="P62" s="53">
        <f>'FY26'!R62</f>
        <v>0</v>
      </c>
      <c r="Q62" s="53">
        <f>'FY27'!R62</f>
        <v>0</v>
      </c>
      <c r="R62" s="53">
        <f>'FY28'!R62</f>
        <v>0</v>
      </c>
      <c r="S62" s="53">
        <f>'FY29'!R62</f>
        <v>0</v>
      </c>
      <c r="T62" s="53">
        <f>'FY30'!R62</f>
        <v>0</v>
      </c>
      <c r="U62" s="53">
        <f>'FY31'!R62</f>
        <v>0</v>
      </c>
      <c r="W62" s="53">
        <f>'FY26'!X62</f>
        <v>0</v>
      </c>
      <c r="X62" s="53">
        <f>'FY27'!X62</f>
        <v>0</v>
      </c>
      <c r="Y62" s="53">
        <f>'FY28'!X62</f>
        <v>0</v>
      </c>
      <c r="Z62" s="53">
        <f>'FY29'!X62</f>
        <v>0</v>
      </c>
      <c r="AA62" s="53">
        <f>'FY30'!X62</f>
        <v>0</v>
      </c>
      <c r="AB62" s="53">
        <f>'FY31'!X62</f>
        <v>0</v>
      </c>
      <c r="AC62" s="196"/>
      <c r="AD62" s="53">
        <f>'FY27'!AD62</f>
        <v>0</v>
      </c>
      <c r="AE62" s="53">
        <f>'FY28'!AD62</f>
        <v>0</v>
      </c>
      <c r="AF62" s="53">
        <f>'FY29'!AD62</f>
        <v>0</v>
      </c>
      <c r="AG62" s="53">
        <f>'FY30'!AD62</f>
        <v>0</v>
      </c>
      <c r="AH62" s="53">
        <f>'FY31'!AD62</f>
        <v>0</v>
      </c>
      <c r="AI62" s="196"/>
      <c r="AJ62" s="53">
        <f>'FY27'!AJ62</f>
        <v>0</v>
      </c>
      <c r="AK62" s="53">
        <f>'FY28'!AJ62</f>
        <v>0</v>
      </c>
      <c r="AL62" s="53">
        <f>'FY29'!AJ62</f>
        <v>0</v>
      </c>
      <c r="AM62" s="53">
        <f>'FY30'!AJ62</f>
        <v>0</v>
      </c>
      <c r="AN62" s="53">
        <f>'FY31'!AJ62</f>
        <v>0</v>
      </c>
      <c r="AP62" s="53">
        <f>'FY26'!AD62</f>
        <v>0</v>
      </c>
      <c r="AQ62" s="53">
        <f>'FY27'!AP62</f>
        <v>0</v>
      </c>
      <c r="AR62" s="53">
        <f>'FY28'!AP62</f>
        <v>0</v>
      </c>
      <c r="AS62" s="53">
        <f>'FY29'!AP62</f>
        <v>0</v>
      </c>
      <c r="AT62" s="53">
        <f>'FY30'!AP62</f>
        <v>0</v>
      </c>
      <c r="AU62" s="53">
        <f>'FY31'!AP62</f>
        <v>0</v>
      </c>
      <c r="AW62" s="53">
        <f>'FY26'!AJ62</f>
        <v>0</v>
      </c>
      <c r="AX62" s="53">
        <f>'FY27'!AV62</f>
        <v>0</v>
      </c>
      <c r="AY62" s="53">
        <f>'FY28'!AV62</f>
        <v>0</v>
      </c>
      <c r="AZ62" s="53">
        <f>'FY29'!AV62</f>
        <v>0</v>
      </c>
      <c r="BA62" s="53">
        <f>'FY30'!AV62</f>
        <v>0</v>
      </c>
      <c r="BB62" s="53">
        <f>'FY31'!AV62</f>
        <v>0</v>
      </c>
    </row>
    <row r="63" spans="1:54" x14ac:dyDescent="0.25">
      <c r="A63" s="16" t="s">
        <v>57</v>
      </c>
      <c r="B63" s="54">
        <f>'FY26'!F63</f>
        <v>69</v>
      </c>
      <c r="C63" s="54">
        <f>'FY27'!F63</f>
        <v>68</v>
      </c>
      <c r="D63" s="54">
        <f>'FY28'!F63</f>
        <v>67</v>
      </c>
      <c r="E63" s="54">
        <f>'FY29'!F63</f>
        <v>68</v>
      </c>
      <c r="F63" s="54">
        <f>'FY30'!F63</f>
        <v>67</v>
      </c>
      <c r="G63" s="54">
        <f>'FY31'!F63</f>
        <v>66.5</v>
      </c>
      <c r="I63" s="54">
        <f>'FY26'!L63</f>
        <v>68</v>
      </c>
      <c r="J63" s="54">
        <f>'FY27'!L63</f>
        <v>67</v>
      </c>
      <c r="K63" s="54">
        <f>'FY28'!L63</f>
        <v>66</v>
      </c>
      <c r="L63" s="54">
        <f>'FY29'!L63</f>
        <v>67</v>
      </c>
      <c r="M63" s="54">
        <f>'FY30'!L63</f>
        <v>66</v>
      </c>
      <c r="N63" s="54">
        <f>'FY31'!L63</f>
        <v>65.5</v>
      </c>
      <c r="P63" s="54">
        <f>'FY26'!R63</f>
        <v>144</v>
      </c>
      <c r="Q63" s="54">
        <f>'FY27'!R63</f>
        <v>145</v>
      </c>
      <c r="R63" s="54">
        <f>'FY28'!R63</f>
        <v>145</v>
      </c>
      <c r="S63" s="54">
        <f>'FY29'!R63</f>
        <v>146</v>
      </c>
      <c r="T63" s="54">
        <f>'FY30'!R63</f>
        <v>147</v>
      </c>
      <c r="U63" s="54">
        <f>'FY31'!R63</f>
        <v>146.5</v>
      </c>
      <c r="W63" s="54">
        <f>'FY26'!X63</f>
        <v>33</v>
      </c>
      <c r="X63" s="54">
        <f>'FY27'!X63</f>
        <v>33.5</v>
      </c>
      <c r="Y63" s="54">
        <f>'FY28'!X63</f>
        <v>33.5</v>
      </c>
      <c r="Z63" s="54">
        <f>'FY29'!X63</f>
        <v>33.5</v>
      </c>
      <c r="AA63" s="54">
        <f>'FY30'!X63</f>
        <v>33.5</v>
      </c>
      <c r="AB63" s="54">
        <f>'FY31'!X63</f>
        <v>33.5</v>
      </c>
      <c r="AC63" s="197"/>
      <c r="AD63" s="54">
        <f>'FY27'!AD63</f>
        <v>24</v>
      </c>
      <c r="AE63" s="54">
        <f>'FY28'!AD63</f>
        <v>34</v>
      </c>
      <c r="AF63" s="54">
        <f>'FY29'!AD63</f>
        <v>50.5</v>
      </c>
      <c r="AG63" s="54">
        <f>'FY30'!AD63</f>
        <v>63.5</v>
      </c>
      <c r="AH63" s="54">
        <f>'FY31'!AD63</f>
        <v>76</v>
      </c>
      <c r="AI63" s="197"/>
      <c r="AJ63" s="54">
        <f>'FY27'!AJ63</f>
        <v>0</v>
      </c>
      <c r="AK63" s="54">
        <f>'FY28'!AJ63</f>
        <v>44</v>
      </c>
      <c r="AL63" s="54">
        <f>'FY29'!AJ63</f>
        <v>55.5</v>
      </c>
      <c r="AM63" s="54">
        <f>'FY30'!AJ63</f>
        <v>62</v>
      </c>
      <c r="AN63" s="54">
        <f>'FY31'!AJ63</f>
        <v>62</v>
      </c>
      <c r="AP63" s="54">
        <f>'FY26'!AD63</f>
        <v>27</v>
      </c>
      <c r="AQ63" s="54">
        <f>'FY27'!AP63</f>
        <v>27</v>
      </c>
      <c r="AR63" s="54">
        <f>'FY28'!AP63</f>
        <v>27</v>
      </c>
      <c r="AS63" s="54">
        <f>'FY29'!AP63</f>
        <v>26</v>
      </c>
      <c r="AT63" s="54">
        <f>'FY30'!AP63</f>
        <v>26</v>
      </c>
      <c r="AU63" s="54">
        <f>'FY31'!AP63</f>
        <v>26</v>
      </c>
      <c r="AW63" s="54">
        <f>'FY26'!AJ63</f>
        <v>341</v>
      </c>
      <c r="AX63" s="54">
        <f>'FY27'!AV63</f>
        <v>364.5</v>
      </c>
      <c r="AY63" s="54">
        <f>'FY28'!AV63</f>
        <v>416.5</v>
      </c>
      <c r="AZ63" s="54">
        <f>'FY29'!AV63</f>
        <v>446.5</v>
      </c>
      <c r="BA63" s="54">
        <f>'FY30'!AV63</f>
        <v>465</v>
      </c>
      <c r="BB63" s="54">
        <f>'FY31'!AV63</f>
        <v>476</v>
      </c>
    </row>
    <row r="64" spans="1:54" x14ac:dyDescent="0.25">
      <c r="A64" s="17" t="s">
        <v>58</v>
      </c>
      <c r="B64" s="55">
        <f>'FY26'!F64</f>
        <v>27</v>
      </c>
      <c r="C64" s="55">
        <f>'FY27'!F64</f>
        <v>27</v>
      </c>
      <c r="D64" s="55">
        <f>'FY28'!F64</f>
        <v>27</v>
      </c>
      <c r="E64" s="55">
        <f>'FY29'!F64</f>
        <v>27</v>
      </c>
      <c r="F64" s="55">
        <f>'FY30'!F64</f>
        <v>27</v>
      </c>
      <c r="G64" s="55">
        <f>'FY31'!F64</f>
        <v>27</v>
      </c>
      <c r="I64" s="55">
        <f>'FY26'!L64</f>
        <v>24.5</v>
      </c>
      <c r="J64" s="55">
        <f>'FY27'!L64</f>
        <v>24.5</v>
      </c>
      <c r="K64" s="55">
        <f>'FY28'!L64</f>
        <v>24.5</v>
      </c>
      <c r="L64" s="55">
        <f>'FY29'!L64</f>
        <v>24.5</v>
      </c>
      <c r="M64" s="55">
        <f>'FY30'!L64</f>
        <v>24.5</v>
      </c>
      <c r="N64" s="55">
        <f>'FY31'!L64</f>
        <v>24.5</v>
      </c>
      <c r="P64" s="55">
        <f>'FY26'!R64</f>
        <v>52</v>
      </c>
      <c r="Q64" s="55">
        <f>'FY27'!R64</f>
        <v>52</v>
      </c>
      <c r="R64" s="55">
        <f>'FY28'!R64</f>
        <v>52</v>
      </c>
      <c r="S64" s="55">
        <f>'FY29'!R64</f>
        <v>52</v>
      </c>
      <c r="T64" s="55">
        <f>'FY30'!R64</f>
        <v>53</v>
      </c>
      <c r="U64" s="55">
        <f>'FY31'!R64</f>
        <v>53</v>
      </c>
      <c r="W64" s="55">
        <f>'FY26'!X64</f>
        <v>5.5</v>
      </c>
      <c r="X64" s="55">
        <f>'FY27'!X64</f>
        <v>4</v>
      </c>
      <c r="Y64" s="55">
        <f>'FY28'!X64</f>
        <v>5</v>
      </c>
      <c r="Z64" s="55">
        <f>'FY29'!X64</f>
        <v>4</v>
      </c>
      <c r="AA64" s="55">
        <f>'FY30'!X64</f>
        <v>4</v>
      </c>
      <c r="AB64" s="55">
        <f>'FY31'!X64</f>
        <v>4</v>
      </c>
      <c r="AC64" s="197"/>
      <c r="AD64" s="55">
        <f>'FY27'!AD64</f>
        <v>6</v>
      </c>
      <c r="AE64" s="55">
        <f>'FY28'!AD64</f>
        <v>9</v>
      </c>
      <c r="AF64" s="55">
        <f>'FY29'!AD64</f>
        <v>13</v>
      </c>
      <c r="AG64" s="55">
        <f>'FY30'!AD64</f>
        <v>16</v>
      </c>
      <c r="AH64" s="55">
        <f>'FY31'!AD64</f>
        <v>19</v>
      </c>
      <c r="AI64" s="197"/>
      <c r="AJ64" s="55">
        <f>'FY27'!AJ64</f>
        <v>0</v>
      </c>
      <c r="AK64" s="55">
        <f>'FY28'!AJ64</f>
        <v>8</v>
      </c>
      <c r="AL64" s="55">
        <f>'FY29'!AJ64</f>
        <v>11</v>
      </c>
      <c r="AM64" s="55">
        <f>'FY30'!AJ64</f>
        <v>14</v>
      </c>
      <c r="AN64" s="55">
        <f>'FY31'!AJ64</f>
        <v>15</v>
      </c>
      <c r="AP64" s="55">
        <f>'FY26'!AD64</f>
        <v>9</v>
      </c>
      <c r="AQ64" s="55">
        <f>'FY27'!AP64</f>
        <v>9</v>
      </c>
      <c r="AR64" s="55">
        <f>'FY28'!AP64</f>
        <v>9</v>
      </c>
      <c r="AS64" s="55">
        <f>'FY29'!AP64</f>
        <v>8</v>
      </c>
      <c r="AT64" s="55">
        <f>'FY30'!AP64</f>
        <v>8</v>
      </c>
      <c r="AU64" s="55">
        <f>'FY31'!AP64</f>
        <v>8</v>
      </c>
      <c r="AW64" s="55">
        <f>'FY26'!AJ64</f>
        <v>118</v>
      </c>
      <c r="AX64" s="55">
        <f>'FY27'!AV64</f>
        <v>122.5</v>
      </c>
      <c r="AY64" s="55">
        <f>'FY28'!AV64</f>
        <v>134.5</v>
      </c>
      <c r="AZ64" s="55">
        <f>'FY29'!AV64</f>
        <v>139.5</v>
      </c>
      <c r="BA64" s="55">
        <f>'FY30'!AV64</f>
        <v>146.5</v>
      </c>
      <c r="BB64" s="55">
        <f>'FY31'!AV64</f>
        <v>150.5</v>
      </c>
    </row>
    <row r="65" spans="1:57" ht="16.5" thickBot="1" x14ac:dyDescent="0.3">
      <c r="A65" s="18" t="s">
        <v>59</v>
      </c>
      <c r="B65" s="56">
        <f>'FY26'!F65</f>
        <v>96</v>
      </c>
      <c r="C65" s="56">
        <f>'FY27'!F65</f>
        <v>95</v>
      </c>
      <c r="D65" s="56">
        <f>'FY28'!F65</f>
        <v>94</v>
      </c>
      <c r="E65" s="56">
        <f>'FY29'!F65</f>
        <v>95</v>
      </c>
      <c r="F65" s="56">
        <f>'FY30'!F65</f>
        <v>94</v>
      </c>
      <c r="G65" s="56">
        <f>'FY31'!F65</f>
        <v>93.5</v>
      </c>
      <c r="I65" s="56">
        <f>'FY26'!L65</f>
        <v>92.5</v>
      </c>
      <c r="J65" s="56">
        <f>'FY27'!L65</f>
        <v>91.5</v>
      </c>
      <c r="K65" s="56">
        <f>'FY28'!L65</f>
        <v>90.5</v>
      </c>
      <c r="L65" s="56">
        <f>'FY29'!L65</f>
        <v>91.5</v>
      </c>
      <c r="M65" s="56">
        <f>'FY30'!L65</f>
        <v>90.5</v>
      </c>
      <c r="N65" s="56">
        <f>'FY31'!L65</f>
        <v>90</v>
      </c>
      <c r="P65" s="56">
        <f>'FY26'!R65</f>
        <v>196</v>
      </c>
      <c r="Q65" s="56">
        <f>'FY27'!R65</f>
        <v>197</v>
      </c>
      <c r="R65" s="56">
        <f>'FY28'!R65</f>
        <v>197</v>
      </c>
      <c r="S65" s="56">
        <f>'FY29'!R65</f>
        <v>198</v>
      </c>
      <c r="T65" s="56">
        <f>'FY30'!R65</f>
        <v>200</v>
      </c>
      <c r="U65" s="56">
        <f>'FY31'!R65</f>
        <v>199.5</v>
      </c>
      <c r="W65" s="56">
        <f>'FY26'!X65</f>
        <v>38.5</v>
      </c>
      <c r="X65" s="56">
        <f>'FY27'!X65</f>
        <v>37.5</v>
      </c>
      <c r="Y65" s="56">
        <f>'FY28'!X65</f>
        <v>38.5</v>
      </c>
      <c r="Z65" s="56">
        <f>'FY29'!X65</f>
        <v>37.5</v>
      </c>
      <c r="AA65" s="56">
        <f>'FY30'!X65</f>
        <v>37.5</v>
      </c>
      <c r="AB65" s="56">
        <f>'FY31'!X65</f>
        <v>37.5</v>
      </c>
      <c r="AC65" s="197"/>
      <c r="AD65" s="56">
        <f>'FY27'!AD65</f>
        <v>30</v>
      </c>
      <c r="AE65" s="56">
        <f>'FY28'!AD65</f>
        <v>43</v>
      </c>
      <c r="AF65" s="56">
        <f>'FY29'!AD65</f>
        <v>63.5</v>
      </c>
      <c r="AG65" s="56">
        <f>'FY30'!AD65</f>
        <v>79.5</v>
      </c>
      <c r="AH65" s="56">
        <f>'FY31'!AD65</f>
        <v>95</v>
      </c>
      <c r="AI65" s="197"/>
      <c r="AJ65" s="56">
        <f>'FY27'!AJ65</f>
        <v>0</v>
      </c>
      <c r="AK65" s="56">
        <f>'FY28'!AJ65</f>
        <v>52</v>
      </c>
      <c r="AL65" s="56">
        <f>'FY29'!AJ65</f>
        <v>66.5</v>
      </c>
      <c r="AM65" s="56">
        <f>'FY30'!AJ65</f>
        <v>76</v>
      </c>
      <c r="AN65" s="56">
        <f>'FY31'!AJ65</f>
        <v>77</v>
      </c>
      <c r="AP65" s="56">
        <f>'FY26'!AD65</f>
        <v>36</v>
      </c>
      <c r="AQ65" s="56">
        <f>'FY27'!AP65</f>
        <v>36</v>
      </c>
      <c r="AR65" s="56">
        <f>'FY28'!AP65</f>
        <v>36</v>
      </c>
      <c r="AS65" s="56">
        <f>'FY29'!AP65</f>
        <v>34</v>
      </c>
      <c r="AT65" s="56">
        <f>'FY30'!AP65</f>
        <v>34</v>
      </c>
      <c r="AU65" s="56">
        <f>'FY31'!AP65</f>
        <v>34</v>
      </c>
      <c r="AW65" s="56">
        <f>'FY26'!AJ65</f>
        <v>459</v>
      </c>
      <c r="AX65" s="56">
        <f>'FY27'!AV65</f>
        <v>487</v>
      </c>
      <c r="AY65" s="56">
        <f>'FY28'!AV65</f>
        <v>551</v>
      </c>
      <c r="AZ65" s="56">
        <f>'FY29'!AV65</f>
        <v>586</v>
      </c>
      <c r="BA65" s="56">
        <f>'FY30'!AV65</f>
        <v>611.5</v>
      </c>
      <c r="BB65" s="56">
        <f>'FY31'!AV65</f>
        <v>626.5</v>
      </c>
    </row>
    <row r="66" spans="1:57" ht="16.5" thickBot="1" x14ac:dyDescent="0.3">
      <c r="B66" s="57">
        <f>'FY26'!F66</f>
        <v>0</v>
      </c>
      <c r="C66" s="57">
        <f>'FY27'!F66</f>
        <v>0</v>
      </c>
      <c r="D66" s="57">
        <f>'FY28'!F66</f>
        <v>0</v>
      </c>
      <c r="E66" s="57">
        <f>'FY29'!F66</f>
        <v>0</v>
      </c>
      <c r="F66" s="57">
        <f>'FY30'!F66</f>
        <v>0</v>
      </c>
      <c r="G66" s="57">
        <f>'FY31'!F66</f>
        <v>0</v>
      </c>
      <c r="I66" s="57">
        <f>'FY26'!L66</f>
        <v>0</v>
      </c>
      <c r="J66" s="57">
        <f>'FY27'!L66</f>
        <v>0</v>
      </c>
      <c r="K66" s="57">
        <f>'FY28'!L66</f>
        <v>0</v>
      </c>
      <c r="L66" s="57">
        <f>'FY29'!L66</f>
        <v>0</v>
      </c>
      <c r="M66" s="57">
        <f>'FY30'!L66</f>
        <v>0</v>
      </c>
      <c r="N66" s="57">
        <f>'FY31'!L66</f>
        <v>0</v>
      </c>
      <c r="P66" s="57">
        <f>'FY26'!R66</f>
        <v>0</v>
      </c>
      <c r="Q66" s="57">
        <f>'FY27'!R66</f>
        <v>0</v>
      </c>
      <c r="R66" s="57">
        <f>'FY28'!R66</f>
        <v>0</v>
      </c>
      <c r="S66" s="57">
        <f>'FY29'!R66</f>
        <v>0</v>
      </c>
      <c r="T66" s="57">
        <f>'FY30'!R66</f>
        <v>0</v>
      </c>
      <c r="U66" s="57">
        <f>'FY31'!R66</f>
        <v>0</v>
      </c>
      <c r="W66" s="57">
        <f>'FY26'!X66</f>
        <v>0</v>
      </c>
      <c r="X66" s="57">
        <f>'FY27'!X66</f>
        <v>0</v>
      </c>
      <c r="Y66" s="57">
        <f>'FY28'!X66</f>
        <v>0</v>
      </c>
      <c r="Z66" s="57">
        <f>'FY29'!X66</f>
        <v>0</v>
      </c>
      <c r="AA66" s="57">
        <f>'FY30'!X66</f>
        <v>0</v>
      </c>
      <c r="AB66" s="57">
        <f>'FY31'!X66</f>
        <v>0</v>
      </c>
      <c r="AC66" s="57"/>
      <c r="AD66" s="57">
        <f>'FY27'!AD66</f>
        <v>0</v>
      </c>
      <c r="AE66" s="57">
        <f>'FY28'!AD66</f>
        <v>0</v>
      </c>
      <c r="AF66" s="57">
        <f>'FY29'!AD66</f>
        <v>0</v>
      </c>
      <c r="AG66" s="57">
        <f>'FY30'!AD66</f>
        <v>0</v>
      </c>
      <c r="AH66" s="57">
        <f>'FY31'!AD66</f>
        <v>0</v>
      </c>
      <c r="AI66" s="57"/>
      <c r="AJ66" s="57">
        <f>'FY27'!AJ66</f>
        <v>0</v>
      </c>
      <c r="AK66" s="57">
        <f>'FY28'!AJ66</f>
        <v>0</v>
      </c>
      <c r="AL66" s="57">
        <f>'FY29'!AJ66</f>
        <v>0</v>
      </c>
      <c r="AM66" s="57">
        <f>'FY30'!AJ66</f>
        <v>0</v>
      </c>
      <c r="AN66" s="57">
        <f>'FY31'!AJ66</f>
        <v>0</v>
      </c>
      <c r="AP66" s="57">
        <f>'FY26'!AD66</f>
        <v>0</v>
      </c>
      <c r="AQ66" s="57">
        <f>'FY27'!AP66</f>
        <v>0</v>
      </c>
      <c r="AR66" s="57">
        <f>'FY28'!AP66</f>
        <v>0</v>
      </c>
      <c r="AS66" s="57">
        <f>'FY29'!AP66</f>
        <v>0</v>
      </c>
      <c r="AT66" s="57">
        <f>'FY30'!AP66</f>
        <v>0</v>
      </c>
      <c r="AU66" s="57">
        <f>'FY31'!AP66</f>
        <v>0</v>
      </c>
      <c r="AW66" s="57">
        <f>'FY26'!AJ66</f>
        <v>0</v>
      </c>
      <c r="AX66" s="57">
        <f>'FY27'!AV66</f>
        <v>0</v>
      </c>
      <c r="AY66" s="57">
        <f>'FY28'!AV66</f>
        <v>0</v>
      </c>
      <c r="AZ66" s="57">
        <f>'FY29'!AV66</f>
        <v>0</v>
      </c>
      <c r="BA66" s="57">
        <f>'FY30'!AV66</f>
        <v>0</v>
      </c>
      <c r="BB66" s="57">
        <f>'FY31'!AV66</f>
        <v>0</v>
      </c>
    </row>
    <row r="67" spans="1:57" ht="16.5" thickBot="1" x14ac:dyDescent="0.3">
      <c r="A67" s="19"/>
      <c r="B67" s="59" t="str">
        <f>'FY26'!F67</f>
        <v>FY26- Mtn</v>
      </c>
      <c r="C67" s="59" t="str">
        <f>'FY27'!F67</f>
        <v>FY27- Mtn</v>
      </c>
      <c r="D67" s="59" t="str">
        <f>'FY28'!F67</f>
        <v>FY28- Mtn</v>
      </c>
      <c r="E67" s="59" t="str">
        <f>'FY29'!F67</f>
        <v>FY29- Mtn</v>
      </c>
      <c r="F67" s="59" t="str">
        <f>'FY30'!F67</f>
        <v>FY30- Mtn</v>
      </c>
      <c r="G67" s="59" t="str">
        <f>'FY31'!F67</f>
        <v>FY31- Mtn</v>
      </c>
      <c r="I67" s="59" t="str">
        <f>'FY26'!L67</f>
        <v>FY26- Bon</v>
      </c>
      <c r="J67" s="59" t="str">
        <f>'FY27'!L67</f>
        <v>FY27- Bon</v>
      </c>
      <c r="K67" s="59" t="str">
        <f>'FY28'!L67</f>
        <v>FY28- Bon</v>
      </c>
      <c r="L67" s="59" t="str">
        <f>'FY29'!L67</f>
        <v>FY29- Bon</v>
      </c>
      <c r="M67" s="59" t="str">
        <f>'FY30'!L67</f>
        <v>FY30- Bon</v>
      </c>
      <c r="N67" s="59" t="str">
        <f>'FY31'!L67</f>
        <v>FY31- Bon</v>
      </c>
      <c r="P67" s="59" t="str">
        <f>'FY26'!R67</f>
        <v>FY26- East</v>
      </c>
      <c r="Q67" s="59" t="str">
        <f>'FY27'!R67</f>
        <v>FY27- East</v>
      </c>
      <c r="R67" s="59" t="str">
        <f>'FY28'!R67</f>
        <v>FY28- East</v>
      </c>
      <c r="S67" s="59" t="str">
        <f>'FY29'!R67</f>
        <v>FY29- East</v>
      </c>
      <c r="T67" s="59" t="str">
        <f>'FY30'!R67</f>
        <v>FY30- East</v>
      </c>
      <c r="U67" s="59" t="str">
        <f>'FY31'!R67</f>
        <v>FY31- East</v>
      </c>
      <c r="W67" s="59" t="str">
        <f>'FY26'!X67</f>
        <v>FY26- Cactus</v>
      </c>
      <c r="X67" s="59" t="str">
        <f>'FY27'!X67</f>
        <v>FY27- Cactus</v>
      </c>
      <c r="Y67" s="59" t="str">
        <f>'FY28'!X67</f>
        <v>FY28- Cactus</v>
      </c>
      <c r="Z67" s="59" t="str">
        <f>'FY29'!X67</f>
        <v>FY29- Cactus</v>
      </c>
      <c r="AA67" s="59" t="str">
        <f>'FY30'!X67</f>
        <v>FY30- Cactus</v>
      </c>
      <c r="AB67" s="59" t="str">
        <f>'FY31'!X67</f>
        <v>FY31- Cactus</v>
      </c>
      <c r="AC67" s="198"/>
      <c r="AD67" s="59" t="str">
        <f>'FY27'!AD67</f>
        <v>FY27- Sahara</v>
      </c>
      <c r="AE67" s="59" t="str">
        <f>'FY28'!AD67</f>
        <v>FY28- Sahara</v>
      </c>
      <c r="AF67" s="59" t="str">
        <f>'FY29'!AD67</f>
        <v>FY29- Sahara</v>
      </c>
      <c r="AG67" s="59" t="str">
        <f>'FY30'!AD67</f>
        <v>FY30- Sahara</v>
      </c>
      <c r="AH67" s="59" t="str">
        <f>'FY31'!AD67</f>
        <v>FY31- Sahara</v>
      </c>
      <c r="AI67" s="198"/>
      <c r="AJ67" s="59" t="str">
        <f>'FY27'!AJ67</f>
        <v>FY27- VV</v>
      </c>
      <c r="AK67" s="59" t="str">
        <f>'FY28'!AJ67</f>
        <v>FY27- VV</v>
      </c>
      <c r="AL67" s="59" t="str">
        <f>'FY29'!AJ67</f>
        <v>FY29- VV</v>
      </c>
      <c r="AM67" s="59" t="str">
        <f>'FY30'!AJ67</f>
        <v>FY30- VV</v>
      </c>
      <c r="AN67" s="59" t="str">
        <f>'FY31'!AJ67</f>
        <v>FY31- VV</v>
      </c>
      <c r="AP67" s="59" t="str">
        <f>'FY26'!AD67</f>
        <v>FY26 - Central</v>
      </c>
      <c r="AQ67" s="59" t="str">
        <f>'FY27'!AP67</f>
        <v>FY27 - Central</v>
      </c>
      <c r="AR67" s="59" t="str">
        <f>'FY28'!AP67</f>
        <v>FY28 - Central</v>
      </c>
      <c r="AS67" s="59" t="str">
        <f>'FY29'!AP67</f>
        <v>FY29 - Central</v>
      </c>
      <c r="AT67" s="59" t="str">
        <f>'FY30'!AP67</f>
        <v>FY30 - Central</v>
      </c>
      <c r="AU67" s="59" t="str">
        <f>'FY31'!AP67</f>
        <v>FY31 - Central</v>
      </c>
      <c r="AW67" s="59" t="str">
        <f>'FY26'!AJ67</f>
        <v>FY26- Sys</v>
      </c>
      <c r="AX67" s="59" t="str">
        <f>'FY27'!AV67</f>
        <v>FY27- Sys</v>
      </c>
      <c r="AY67" s="59" t="str">
        <f>'FY28'!AV67</f>
        <v>FY28- Sys</v>
      </c>
      <c r="AZ67" s="59" t="str">
        <f>'FY29'!AV67</f>
        <v>FY29- Sys</v>
      </c>
      <c r="BA67" s="59" t="str">
        <f>'FY30'!AV67</f>
        <v>FY29- Sys</v>
      </c>
      <c r="BB67" s="59" t="str">
        <f>'FY31'!AV67</f>
        <v>FY31- Sys</v>
      </c>
    </row>
    <row r="68" spans="1:57" x14ac:dyDescent="0.25">
      <c r="A68" s="20" t="s">
        <v>60</v>
      </c>
      <c r="B68" s="60">
        <f>'FY26'!F68</f>
        <v>9679648</v>
      </c>
      <c r="C68" s="60">
        <f>'FY27'!F68</f>
        <v>9751608</v>
      </c>
      <c r="D68" s="60">
        <f>'FY28'!F68</f>
        <v>9951040</v>
      </c>
      <c r="E68" s="60">
        <f>'FY29'!F68</f>
        <v>10100100</v>
      </c>
      <c r="F68" s="60">
        <f>'FY30'!F68</f>
        <v>10254300</v>
      </c>
      <c r="G68" s="60">
        <f>'FY31'!F68</f>
        <v>10408500</v>
      </c>
      <c r="I68" s="60">
        <f>'FY26'!L68</f>
        <v>9679648</v>
      </c>
      <c r="J68" s="60">
        <f>'FY27'!L68</f>
        <v>9751608</v>
      </c>
      <c r="K68" s="60">
        <f>'FY28'!L68</f>
        <v>9951040</v>
      </c>
      <c r="L68" s="60">
        <f>'FY29'!L68</f>
        <v>10100100</v>
      </c>
      <c r="M68" s="60">
        <f>'FY30'!L68</f>
        <v>10254300</v>
      </c>
      <c r="N68" s="60">
        <f>'FY31'!L68</f>
        <v>10408500</v>
      </c>
      <c r="P68" s="60">
        <f>'FY26'!R68</f>
        <v>23003288</v>
      </c>
      <c r="Q68" s="60">
        <f>'FY27'!R68</f>
        <v>23326074</v>
      </c>
      <c r="R68" s="60">
        <f>'FY28'!R68</f>
        <v>23987040</v>
      </c>
      <c r="S68" s="60">
        <f>'FY29'!R68</f>
        <v>24670575</v>
      </c>
      <c r="T68" s="60">
        <f>'FY30'!R68</f>
        <v>25137000</v>
      </c>
      <c r="U68" s="60">
        <f>'FY31'!R68</f>
        <v>25423875</v>
      </c>
      <c r="W68" s="60">
        <f>'FY26'!X68</f>
        <v>4463184</v>
      </c>
      <c r="X68" s="60">
        <f>'FY27'!X68</f>
        <v>5056038</v>
      </c>
      <c r="Y68" s="60">
        <f>'FY28'!X68</f>
        <v>5178800</v>
      </c>
      <c r="Z68" s="60">
        <f>'FY29'!X68</f>
        <v>5276025</v>
      </c>
      <c r="AA68" s="60">
        <f>'FY30'!X68</f>
        <v>5376525</v>
      </c>
      <c r="AB68" s="60">
        <f>'FY31'!X68</f>
        <v>5467500</v>
      </c>
      <c r="AC68" s="194"/>
      <c r="AD68" s="60">
        <f>'FY27'!AD68</f>
        <v>4069494</v>
      </c>
      <c r="AE68" s="60">
        <f>'FY28'!AD68</f>
        <v>5943520</v>
      </c>
      <c r="AF68" s="60">
        <f>'FY29'!AD68</f>
        <v>8675475</v>
      </c>
      <c r="AG68" s="60">
        <f>'FY30'!AD68</f>
        <v>11411400</v>
      </c>
      <c r="AH68" s="60">
        <f>'FY31'!AD68</f>
        <v>13780125</v>
      </c>
      <c r="AI68" s="194"/>
      <c r="AJ68" s="60">
        <f>'FY27'!AJ68</f>
        <v>0</v>
      </c>
      <c r="AK68" s="60">
        <f>'FY28'!AJ68</f>
        <v>7550400</v>
      </c>
      <c r="AL68" s="60">
        <f>'FY29'!AJ68</f>
        <v>9127425</v>
      </c>
      <c r="AM68" s="60">
        <f>'FY30'!AJ68</f>
        <v>10403925</v>
      </c>
      <c r="AN68" s="60">
        <f>'FY31'!AJ68</f>
        <v>10398375</v>
      </c>
      <c r="AP68" s="60">
        <f>'FY26'!AD68</f>
        <v>0</v>
      </c>
      <c r="AQ68" s="60">
        <f>'FY27'!AP68</f>
        <v>0</v>
      </c>
      <c r="AR68" s="60">
        <f>'FY28'!AP68</f>
        <v>0</v>
      </c>
      <c r="AS68" s="60">
        <f>'FY29'!AP68</f>
        <v>0</v>
      </c>
      <c r="AT68" s="60">
        <f>'FY30'!AP68</f>
        <v>0</v>
      </c>
      <c r="AU68" s="60">
        <f>'FY31'!AP68</f>
        <v>0</v>
      </c>
      <c r="AW68" s="60">
        <f>'FY26'!AJ68</f>
        <v>46825768</v>
      </c>
      <c r="AX68" s="60">
        <f>'FY27'!AV68</f>
        <v>51954822</v>
      </c>
      <c r="AY68" s="60">
        <f>'FY28'!AV68</f>
        <v>62561840</v>
      </c>
      <c r="AZ68" s="60">
        <f>'FY29'!AV68</f>
        <v>67949700</v>
      </c>
      <c r="BA68" s="60">
        <f>'FY30'!AV68</f>
        <v>72837450</v>
      </c>
      <c r="BB68" s="60">
        <f>'FY31'!AV68</f>
        <v>75886875</v>
      </c>
      <c r="BD68" s="166"/>
      <c r="BE68" s="166"/>
    </row>
    <row r="69" spans="1:57" x14ac:dyDescent="0.25">
      <c r="A69" s="21" t="s">
        <v>61</v>
      </c>
      <c r="B69" s="60">
        <f>'FY26'!F69</f>
        <v>1524600</v>
      </c>
      <c r="C69" s="60">
        <f>'FY27'!F69</f>
        <v>1524600</v>
      </c>
      <c r="D69" s="60">
        <f>'FY28'!F69</f>
        <v>1566417.5999999999</v>
      </c>
      <c r="E69" s="60">
        <f>'FY29'!F69</f>
        <v>1589881.5000000002</v>
      </c>
      <c r="F69" s="60">
        <f>'FY30'!F69</f>
        <v>1614154.5</v>
      </c>
      <c r="G69" s="60">
        <f>'FY31'!F69</f>
        <v>1638427.5</v>
      </c>
      <c r="I69" s="60">
        <f>'FY26'!L69</f>
        <v>1524600</v>
      </c>
      <c r="J69" s="60">
        <f>'FY27'!L69</f>
        <v>1524600</v>
      </c>
      <c r="K69" s="60">
        <f>'FY28'!L69</f>
        <v>1566417.5999999999</v>
      </c>
      <c r="L69" s="60">
        <f>'FY29'!L69</f>
        <v>1589881.5000000002</v>
      </c>
      <c r="M69" s="60">
        <f>'FY30'!L69</f>
        <v>1614154.5</v>
      </c>
      <c r="N69" s="60">
        <f>'FY31'!L69</f>
        <v>1638427.5</v>
      </c>
      <c r="P69" s="60">
        <f>'FY26'!R69</f>
        <v>3129665</v>
      </c>
      <c r="Q69" s="60">
        <f>'FY27'!R69</f>
        <v>3091550</v>
      </c>
      <c r="R69" s="60">
        <f>'FY28'!R69</f>
        <v>3176346.8</v>
      </c>
      <c r="S69" s="60">
        <f>'FY29'!R69</f>
        <v>3268089.7500000005</v>
      </c>
      <c r="T69" s="60">
        <f>'FY30'!R69</f>
        <v>3317984.25</v>
      </c>
      <c r="U69" s="60">
        <f>'FY31'!R69</f>
        <v>3367878.75</v>
      </c>
      <c r="W69" s="60">
        <f>'FY26'!X69</f>
        <v>271040</v>
      </c>
      <c r="X69" s="60">
        <f>'FY27'!X69</f>
        <v>319796.77500000002</v>
      </c>
      <c r="Y69" s="60">
        <f>'FY28'!X69</f>
        <v>304581.2</v>
      </c>
      <c r="Z69" s="60">
        <f>'FY29'!X69</f>
        <v>353307.00000000006</v>
      </c>
      <c r="AA69" s="60">
        <f>'FY30'!X69</f>
        <v>358701</v>
      </c>
      <c r="AB69" s="60">
        <f>'FY31'!X69</f>
        <v>364095</v>
      </c>
      <c r="AC69" s="194"/>
      <c r="AD69" s="60">
        <f>'FY27'!AD69</f>
        <v>0</v>
      </c>
      <c r="AE69" s="60">
        <f>'FY28'!AD69</f>
        <v>652674</v>
      </c>
      <c r="AF69" s="60">
        <f>'FY29'!AD69</f>
        <v>927430.87500000012</v>
      </c>
      <c r="AG69" s="60">
        <f>'FY30'!AD69</f>
        <v>1367547.5625</v>
      </c>
      <c r="AH69" s="60">
        <f>'FY31'!AD69</f>
        <v>1774963.125</v>
      </c>
      <c r="AI69" s="194"/>
      <c r="AJ69" s="60">
        <f>'FY27'!AJ69</f>
        <v>0</v>
      </c>
      <c r="AK69" s="60">
        <f>'FY28'!AJ69</f>
        <v>0</v>
      </c>
      <c r="AL69" s="60">
        <f>'FY29'!AJ69</f>
        <v>1148247.7500000002</v>
      </c>
      <c r="AM69" s="60">
        <f>'FY30'!AJ69</f>
        <v>1345128.75</v>
      </c>
      <c r="AN69" s="60">
        <f>'FY31'!AJ69</f>
        <v>1501891.875</v>
      </c>
      <c r="AP69" s="60">
        <f>'FY26'!AD69</f>
        <v>0</v>
      </c>
      <c r="AQ69" s="60">
        <f>'FY27'!AP69</f>
        <v>0</v>
      </c>
      <c r="AR69" s="60">
        <f>'FY28'!AP69</f>
        <v>0</v>
      </c>
      <c r="AS69" s="60">
        <f>'FY29'!AP69</f>
        <v>0</v>
      </c>
      <c r="AT69" s="60">
        <f>'FY30'!AP69</f>
        <v>0</v>
      </c>
      <c r="AU69" s="60">
        <f>'FY31'!AP69</f>
        <v>0</v>
      </c>
      <c r="AW69" s="60">
        <f>'FY26'!AJ69</f>
        <v>6449905</v>
      </c>
      <c r="AX69" s="60">
        <f>'FY27'!AV69</f>
        <v>6460546.7750000004</v>
      </c>
      <c r="AY69" s="60">
        <f>'FY28'!AV69</f>
        <v>7266437.2000000002</v>
      </c>
      <c r="AZ69" s="60">
        <f>'FY29'!AV69</f>
        <v>8876838.3750000019</v>
      </c>
      <c r="BA69" s="60">
        <f>'FY30'!AV69</f>
        <v>9617670.5625</v>
      </c>
      <c r="BB69" s="60">
        <f>'FY31'!AV69</f>
        <v>10285683.75</v>
      </c>
      <c r="BD69" s="166"/>
      <c r="BE69" s="166"/>
    </row>
    <row r="70" spans="1:57" x14ac:dyDescent="0.25">
      <c r="A70" s="21" t="s">
        <v>62</v>
      </c>
      <c r="B70" s="60">
        <f>'FY26'!F70</f>
        <v>0</v>
      </c>
      <c r="C70" s="60">
        <f>'FY27'!F70</f>
        <v>0</v>
      </c>
      <c r="D70" s="60">
        <f>'FY28'!F70</f>
        <v>0</v>
      </c>
      <c r="E70" s="60">
        <f>'FY29'!F70</f>
        <v>0</v>
      </c>
      <c r="F70" s="60">
        <f>'FY30'!F70</f>
        <v>0</v>
      </c>
      <c r="G70" s="60">
        <f>'FY31'!F70</f>
        <v>0</v>
      </c>
      <c r="I70" s="60">
        <f>'FY26'!L70</f>
        <v>0</v>
      </c>
      <c r="J70" s="60">
        <f>'FY27'!L70</f>
        <v>0</v>
      </c>
      <c r="K70" s="60">
        <f>'FY28'!L70</f>
        <v>0</v>
      </c>
      <c r="L70" s="60">
        <f>'FY29'!L70</f>
        <v>0</v>
      </c>
      <c r="M70" s="60">
        <f>'FY30'!L70</f>
        <v>0</v>
      </c>
      <c r="N70" s="60">
        <f>'FY31'!L70</f>
        <v>0</v>
      </c>
      <c r="P70" s="60">
        <f>'FY26'!R70</f>
        <v>0</v>
      </c>
      <c r="Q70" s="60">
        <f>'FY27'!R70</f>
        <v>0</v>
      </c>
      <c r="R70" s="60">
        <f>'FY28'!R70</f>
        <v>0</v>
      </c>
      <c r="S70" s="60">
        <f>'FY29'!R70</f>
        <v>0</v>
      </c>
      <c r="T70" s="60">
        <f>'FY30'!R70</f>
        <v>0</v>
      </c>
      <c r="U70" s="60">
        <f>'FY31'!R70</f>
        <v>0</v>
      </c>
      <c r="W70" s="60">
        <f>'FY26'!X70</f>
        <v>0</v>
      </c>
      <c r="X70" s="60">
        <f>'FY27'!X70</f>
        <v>0</v>
      </c>
      <c r="Y70" s="60">
        <f>'FY28'!X70</f>
        <v>0</v>
      </c>
      <c r="Z70" s="60">
        <f>'FY29'!X70</f>
        <v>0</v>
      </c>
      <c r="AA70" s="60">
        <f>'FY30'!X70</f>
        <v>0</v>
      </c>
      <c r="AB70" s="60">
        <f>'FY31'!X70</f>
        <v>0</v>
      </c>
      <c r="AC70" s="194"/>
      <c r="AD70" s="60">
        <f>'FY27'!AD70</f>
        <v>0</v>
      </c>
      <c r="AE70" s="60">
        <f>'FY28'!AD70</f>
        <v>0</v>
      </c>
      <c r="AF70" s="60">
        <f>'FY29'!AD70</f>
        <v>0</v>
      </c>
      <c r="AG70" s="60">
        <f>'FY30'!AD70</f>
        <v>0</v>
      </c>
      <c r="AH70" s="60">
        <f>'FY31'!AD70</f>
        <v>0</v>
      </c>
      <c r="AI70" s="194"/>
      <c r="AJ70" s="60">
        <f>'FY27'!AJ70</f>
        <v>0</v>
      </c>
      <c r="AK70" s="60">
        <f>'FY28'!AJ70</f>
        <v>0</v>
      </c>
      <c r="AL70" s="60">
        <f>'FY29'!AJ70</f>
        <v>0</v>
      </c>
      <c r="AM70" s="60">
        <f>'FY30'!AJ70</f>
        <v>0</v>
      </c>
      <c r="AN70" s="60">
        <f>'FY31'!AJ70</f>
        <v>0</v>
      </c>
      <c r="AP70" s="60">
        <f>'FY26'!AD70</f>
        <v>0</v>
      </c>
      <c r="AQ70" s="60">
        <f>'FY27'!AP70</f>
        <v>0</v>
      </c>
      <c r="AR70" s="60">
        <f>'FY28'!AP70</f>
        <v>0</v>
      </c>
      <c r="AS70" s="60">
        <f>'FY29'!AP70</f>
        <v>0</v>
      </c>
      <c r="AT70" s="60">
        <f>'FY30'!AP70</f>
        <v>0</v>
      </c>
      <c r="AU70" s="60">
        <f>'FY31'!AP70</f>
        <v>0</v>
      </c>
      <c r="AW70" s="60">
        <f>'FY26'!AJ70</f>
        <v>0</v>
      </c>
      <c r="AX70" s="60">
        <f>'FY27'!AV70</f>
        <v>0</v>
      </c>
      <c r="AY70" s="60">
        <f>'FY28'!AV70</f>
        <v>0</v>
      </c>
      <c r="AZ70" s="60">
        <f>'FY29'!AV70</f>
        <v>0</v>
      </c>
      <c r="BA70" s="60">
        <f>'FY30'!AV70</f>
        <v>0</v>
      </c>
      <c r="BB70" s="60">
        <f>'FY31'!AV70</f>
        <v>0</v>
      </c>
      <c r="BD70" s="166"/>
      <c r="BE70" s="166"/>
    </row>
    <row r="71" spans="1:57" x14ac:dyDescent="0.25">
      <c r="A71" s="21" t="s">
        <v>63</v>
      </c>
      <c r="B71" s="60">
        <f>'FY26'!F71</f>
        <v>0</v>
      </c>
      <c r="C71" s="60">
        <f>'FY27'!F71</f>
        <v>0</v>
      </c>
      <c r="D71" s="60">
        <f>'FY28'!F71</f>
        <v>0</v>
      </c>
      <c r="E71" s="60">
        <f>'FY29'!F71</f>
        <v>0</v>
      </c>
      <c r="F71" s="60">
        <f>'FY30'!F71</f>
        <v>0</v>
      </c>
      <c r="G71" s="60">
        <f>'FY31'!F71</f>
        <v>0</v>
      </c>
      <c r="I71" s="60">
        <f>'FY26'!L71</f>
        <v>0</v>
      </c>
      <c r="J71" s="60">
        <f>'FY27'!L71</f>
        <v>0</v>
      </c>
      <c r="K71" s="60">
        <f>'FY28'!L71</f>
        <v>0</v>
      </c>
      <c r="L71" s="60">
        <f>'FY29'!L71</f>
        <v>0</v>
      </c>
      <c r="M71" s="60">
        <f>'FY30'!L71</f>
        <v>0</v>
      </c>
      <c r="N71" s="60">
        <f>'FY31'!L71</f>
        <v>0</v>
      </c>
      <c r="P71" s="60">
        <f>'FY26'!R71</f>
        <v>16470</v>
      </c>
      <c r="Q71" s="60">
        <f>'FY27'!R71</f>
        <v>16470</v>
      </c>
      <c r="R71" s="60">
        <f>'FY28'!R71</f>
        <v>16470</v>
      </c>
      <c r="S71" s="60">
        <f>'FY29'!R71</f>
        <v>16470</v>
      </c>
      <c r="T71" s="60">
        <f>'FY30'!R71</f>
        <v>16470</v>
      </c>
      <c r="U71" s="60">
        <f>'FY31'!R71</f>
        <v>16470</v>
      </c>
      <c r="W71" s="60">
        <f>'FY26'!X71</f>
        <v>0</v>
      </c>
      <c r="X71" s="60">
        <f>'FY27'!X71</f>
        <v>0</v>
      </c>
      <c r="Y71" s="60">
        <f>'FY28'!X71</f>
        <v>0</v>
      </c>
      <c r="Z71" s="60">
        <f>'FY29'!X71</f>
        <v>0</v>
      </c>
      <c r="AA71" s="60">
        <f>'FY30'!X71</f>
        <v>174313.125</v>
      </c>
      <c r="AB71" s="60">
        <f>'FY31'!X71</f>
        <v>0</v>
      </c>
      <c r="AC71" s="194"/>
      <c r="AD71" s="60">
        <f>'FY27'!AD71</f>
        <v>0</v>
      </c>
      <c r="AE71" s="60">
        <f>'FY28'!AD71</f>
        <v>0</v>
      </c>
      <c r="AF71" s="60">
        <f>'FY29'!AD71</f>
        <v>0</v>
      </c>
      <c r="AG71" s="60">
        <f>'FY30'!AD71</f>
        <v>0</v>
      </c>
      <c r="AH71" s="60">
        <f>'FY31'!AD71</f>
        <v>0</v>
      </c>
      <c r="AI71" s="194"/>
      <c r="AJ71" s="60">
        <f>'FY27'!AJ71</f>
        <v>0</v>
      </c>
      <c r="AK71" s="60">
        <f>'FY28'!AJ71</f>
        <v>0</v>
      </c>
      <c r="AL71" s="60">
        <f>'FY29'!AJ71</f>
        <v>0</v>
      </c>
      <c r="AM71" s="60">
        <f>'FY30'!AJ71</f>
        <v>348626.25</v>
      </c>
      <c r="AN71" s="60">
        <f>'FY31'!AJ71</f>
        <v>0</v>
      </c>
      <c r="AP71" s="60">
        <f>'FY26'!AD71</f>
        <v>0</v>
      </c>
      <c r="AQ71" s="60">
        <f>'FY27'!AP71</f>
        <v>0</v>
      </c>
      <c r="AR71" s="60">
        <f>'FY28'!AP71</f>
        <v>0</v>
      </c>
      <c r="AS71" s="60">
        <f>'FY29'!AP71</f>
        <v>0</v>
      </c>
      <c r="AT71" s="60">
        <f>'FY30'!AP71</f>
        <v>0</v>
      </c>
      <c r="AU71" s="60">
        <f>'FY31'!AP71</f>
        <v>0</v>
      </c>
      <c r="AW71" s="60">
        <f>'FY26'!AJ71</f>
        <v>16470</v>
      </c>
      <c r="AX71" s="60">
        <f>'FY27'!AV71</f>
        <v>16470</v>
      </c>
      <c r="AY71" s="60">
        <f>'FY28'!AV71</f>
        <v>16470</v>
      </c>
      <c r="AZ71" s="60">
        <f>'FY29'!AV71</f>
        <v>16470</v>
      </c>
      <c r="BA71" s="60">
        <f>'FY30'!AV71</f>
        <v>539409.375</v>
      </c>
      <c r="BB71" s="60">
        <f>'FY31'!AV71</f>
        <v>16470</v>
      </c>
      <c r="BD71" s="166"/>
      <c r="BE71" s="166"/>
    </row>
    <row r="72" spans="1:57" x14ac:dyDescent="0.25">
      <c r="A72" s="21" t="s">
        <v>64</v>
      </c>
      <c r="B72" s="60">
        <f>'FY26'!F72</f>
        <v>393521</v>
      </c>
      <c r="C72" s="60">
        <f>'FY27'!F72</f>
        <v>393521</v>
      </c>
      <c r="D72" s="60">
        <f>'FY28'!F72</f>
        <v>393521</v>
      </c>
      <c r="E72" s="60">
        <f>'FY29'!F72</f>
        <v>393521</v>
      </c>
      <c r="F72" s="60">
        <f>'FY30'!F72</f>
        <v>393521</v>
      </c>
      <c r="G72" s="60">
        <f>'FY31'!F72</f>
        <v>393521</v>
      </c>
      <c r="I72" s="60">
        <f>'FY26'!L72</f>
        <v>385109</v>
      </c>
      <c r="J72" s="60">
        <f>'FY27'!L72</f>
        <v>385109</v>
      </c>
      <c r="K72" s="60">
        <f>'FY28'!L72</f>
        <v>385109</v>
      </c>
      <c r="L72" s="60">
        <f>'FY29'!L72</f>
        <v>385109</v>
      </c>
      <c r="M72" s="60">
        <f>'FY30'!L72</f>
        <v>385109</v>
      </c>
      <c r="N72" s="60">
        <f>'FY31'!L72</f>
        <v>385109</v>
      </c>
      <c r="P72" s="60">
        <f>'FY26'!R72</f>
        <v>873329</v>
      </c>
      <c r="Q72" s="60">
        <f>'FY27'!R72</f>
        <v>873329</v>
      </c>
      <c r="R72" s="60">
        <f>'FY28'!R72</f>
        <v>873329</v>
      </c>
      <c r="S72" s="60">
        <f>'FY29'!R72</f>
        <v>873329</v>
      </c>
      <c r="T72" s="60">
        <f>'FY30'!R72</f>
        <v>873329</v>
      </c>
      <c r="U72" s="60">
        <f>'FY31'!R72</f>
        <v>873329</v>
      </c>
      <c r="W72" s="60">
        <f>'FY26'!X72</f>
        <v>135287</v>
      </c>
      <c r="X72" s="60">
        <f>'FY27'!X72</f>
        <v>121500</v>
      </c>
      <c r="Y72" s="60">
        <f>'FY28'!X72</f>
        <v>121500</v>
      </c>
      <c r="Z72" s="60">
        <f>'FY29'!X72</f>
        <v>121500</v>
      </c>
      <c r="AA72" s="60">
        <f>'FY30'!X72</f>
        <v>121500</v>
      </c>
      <c r="AB72" s="60">
        <f>'FY31'!X72</f>
        <v>121500</v>
      </c>
      <c r="AC72" s="194"/>
      <c r="AD72" s="60">
        <f>'FY27'!AD72</f>
        <v>0</v>
      </c>
      <c r="AE72" s="60">
        <f>'FY28'!AD72</f>
        <v>0</v>
      </c>
      <c r="AF72" s="60">
        <f>'FY29'!AD72</f>
        <v>0</v>
      </c>
      <c r="AG72" s="60">
        <f>'FY30'!AD72</f>
        <v>0</v>
      </c>
      <c r="AH72" s="60">
        <f>'FY31'!AD72</f>
        <v>0</v>
      </c>
      <c r="AI72" s="194"/>
      <c r="AJ72" s="60">
        <f>'FY27'!AJ72</f>
        <v>0</v>
      </c>
      <c r="AK72" s="60">
        <f>'FY28'!AJ72</f>
        <v>0</v>
      </c>
      <c r="AL72" s="60">
        <f>'FY29'!AJ72</f>
        <v>100000</v>
      </c>
      <c r="AM72" s="60">
        <f>'FY30'!AJ72</f>
        <v>150000</v>
      </c>
      <c r="AN72" s="60">
        <f>'FY31'!AJ72</f>
        <v>200000</v>
      </c>
      <c r="AP72" s="60">
        <f>'FY26'!AD72</f>
        <v>0</v>
      </c>
      <c r="AQ72" s="60">
        <f>'FY27'!AP72</f>
        <v>0</v>
      </c>
      <c r="AR72" s="60">
        <f>'FY28'!AP72</f>
        <v>0</v>
      </c>
      <c r="AS72" s="60">
        <f>'FY29'!AP72</f>
        <v>0</v>
      </c>
      <c r="AT72" s="60">
        <f>'FY30'!AP72</f>
        <v>0</v>
      </c>
      <c r="AU72" s="60">
        <f>'FY31'!AP72</f>
        <v>0</v>
      </c>
      <c r="AW72" s="60">
        <f>'FY26'!AJ72</f>
        <v>1787246</v>
      </c>
      <c r="AX72" s="60">
        <f>'FY27'!AV72</f>
        <v>1773459</v>
      </c>
      <c r="AY72" s="60">
        <f>'FY28'!AV72</f>
        <v>1773459</v>
      </c>
      <c r="AZ72" s="60">
        <f>'FY29'!AV72</f>
        <v>1873459</v>
      </c>
      <c r="BA72" s="60">
        <f>'FY30'!AV72</f>
        <v>1923459</v>
      </c>
      <c r="BB72" s="60">
        <f>'FY31'!AV72</f>
        <v>1973459</v>
      </c>
      <c r="BD72" s="166"/>
      <c r="BE72" s="166"/>
    </row>
    <row r="73" spans="1:57" x14ac:dyDescent="0.25">
      <c r="A73" s="21" t="s">
        <v>65</v>
      </c>
      <c r="B73" s="60">
        <f>'FY26'!F73</f>
        <v>386750</v>
      </c>
      <c r="C73" s="60">
        <f>'FY27'!F73</f>
        <v>386750</v>
      </c>
      <c r="D73" s="60">
        <f>'FY28'!F73</f>
        <v>386750</v>
      </c>
      <c r="E73" s="60">
        <f>'FY29'!F73</f>
        <v>386750</v>
      </c>
      <c r="F73" s="60">
        <f>'FY30'!F73</f>
        <v>386750</v>
      </c>
      <c r="G73" s="60">
        <f>'FY31'!F73</f>
        <v>386750</v>
      </c>
      <c r="I73" s="60">
        <f>'FY26'!L73</f>
        <v>386750</v>
      </c>
      <c r="J73" s="60">
        <f>'FY27'!L73</f>
        <v>386750</v>
      </c>
      <c r="K73" s="60">
        <f>'FY28'!L73</f>
        <v>386750</v>
      </c>
      <c r="L73" s="60">
        <f>'FY29'!L73</f>
        <v>386750</v>
      </c>
      <c r="M73" s="60">
        <f>'FY30'!L73</f>
        <v>386750</v>
      </c>
      <c r="N73" s="60">
        <f>'FY31'!L73</f>
        <v>386750</v>
      </c>
      <c r="P73" s="60">
        <f>'FY26'!R73</f>
        <v>914000</v>
      </c>
      <c r="Q73" s="60">
        <f>'FY27'!R73</f>
        <v>914000</v>
      </c>
      <c r="R73" s="60">
        <f>'FY28'!R73</f>
        <v>914000</v>
      </c>
      <c r="S73" s="60">
        <f>'FY29'!R73</f>
        <v>914000</v>
      </c>
      <c r="T73" s="60">
        <f>'FY30'!R73</f>
        <v>914000</v>
      </c>
      <c r="U73" s="60">
        <f>'FY31'!R73</f>
        <v>914000</v>
      </c>
      <c r="W73" s="60">
        <f>'FY26'!X73</f>
        <v>208500</v>
      </c>
      <c r="X73" s="60">
        <f>'FY27'!X73</f>
        <v>0</v>
      </c>
      <c r="Y73" s="60">
        <f>'FY28'!X73</f>
        <v>0</v>
      </c>
      <c r="Z73" s="60">
        <f>'FY29'!X73</f>
        <v>0</v>
      </c>
      <c r="AA73" s="60">
        <f>'FY30'!X73</f>
        <v>0</v>
      </c>
      <c r="AB73" s="60">
        <f>'FY31'!X73</f>
        <v>0</v>
      </c>
      <c r="AC73" s="194"/>
      <c r="AD73" s="60">
        <f>'FY27'!AD73</f>
        <v>0</v>
      </c>
      <c r="AE73" s="60">
        <f>'FY28'!AD73</f>
        <v>0</v>
      </c>
      <c r="AF73" s="60">
        <f>'FY29'!AD73</f>
        <v>0</v>
      </c>
      <c r="AG73" s="60">
        <f>'FY30'!AD73</f>
        <v>0</v>
      </c>
      <c r="AH73" s="60">
        <f>'FY31'!AD73</f>
        <v>0</v>
      </c>
      <c r="AI73" s="194"/>
      <c r="AJ73" s="60">
        <f>'FY27'!AJ73</f>
        <v>0</v>
      </c>
      <c r="AK73" s="60">
        <f>'FY28'!AJ73</f>
        <v>0</v>
      </c>
      <c r="AL73" s="60">
        <f>'FY29'!AJ73</f>
        <v>0</v>
      </c>
      <c r="AM73" s="60">
        <f>'FY30'!AJ73</f>
        <v>0</v>
      </c>
      <c r="AN73" s="60">
        <f>'FY31'!AJ73</f>
        <v>0</v>
      </c>
      <c r="AP73" s="60">
        <f>'FY26'!AD73</f>
        <v>0</v>
      </c>
      <c r="AQ73" s="60">
        <f>'FY27'!AP73</f>
        <v>0</v>
      </c>
      <c r="AR73" s="60">
        <f>'FY28'!AP73</f>
        <v>0</v>
      </c>
      <c r="AS73" s="60">
        <f>'FY29'!AP73</f>
        <v>0</v>
      </c>
      <c r="AT73" s="60">
        <f>'FY30'!AP73</f>
        <v>0</v>
      </c>
      <c r="AU73" s="60">
        <f>'FY31'!AP73</f>
        <v>0</v>
      </c>
      <c r="AW73" s="60">
        <f>'FY26'!AJ73</f>
        <v>1896000</v>
      </c>
      <c r="AX73" s="60">
        <f>'FY27'!AV73</f>
        <v>1687500</v>
      </c>
      <c r="AY73" s="60">
        <f>'FY28'!AV73</f>
        <v>1687500</v>
      </c>
      <c r="AZ73" s="60">
        <f>'FY29'!AV73</f>
        <v>1687500</v>
      </c>
      <c r="BA73" s="60">
        <f>'FY30'!AV73</f>
        <v>1687500</v>
      </c>
      <c r="BB73" s="60">
        <f>'FY31'!AV73</f>
        <v>1687500</v>
      </c>
      <c r="BD73" s="166"/>
      <c r="BE73" s="166"/>
    </row>
    <row r="74" spans="1:57" x14ac:dyDescent="0.25">
      <c r="A74" s="21" t="s">
        <v>66</v>
      </c>
      <c r="B74" s="60">
        <f>'FY26'!F74</f>
        <v>392280</v>
      </c>
      <c r="C74" s="60">
        <f>'FY27'!F74</f>
        <v>402780</v>
      </c>
      <c r="D74" s="60">
        <f>'FY28'!F74</f>
        <v>413280</v>
      </c>
      <c r="E74" s="60">
        <f>'FY29'!F74</f>
        <v>423780</v>
      </c>
      <c r="F74" s="60">
        <f>'FY30'!F74</f>
        <v>434280</v>
      </c>
      <c r="G74" s="60">
        <f>'FY31'!F74</f>
        <v>444780</v>
      </c>
      <c r="I74" s="60">
        <f>'FY26'!L74</f>
        <v>392280</v>
      </c>
      <c r="J74" s="60">
        <f>'FY27'!L74</f>
        <v>402780</v>
      </c>
      <c r="K74" s="60">
        <f>'FY28'!L74</f>
        <v>413280</v>
      </c>
      <c r="L74" s="60">
        <f>'FY29'!L74</f>
        <v>423780</v>
      </c>
      <c r="M74" s="60">
        <f>'FY30'!L74</f>
        <v>434280</v>
      </c>
      <c r="N74" s="60">
        <f>'FY31'!L74</f>
        <v>444780</v>
      </c>
      <c r="P74" s="60">
        <f>'FY26'!R74</f>
        <v>896640</v>
      </c>
      <c r="Q74" s="60">
        <f>'FY27'!R74</f>
        <v>1012704</v>
      </c>
      <c r="R74" s="60">
        <f>'FY28'!R74</f>
        <v>1039104</v>
      </c>
      <c r="S74" s="60">
        <f>'FY29'!R74</f>
        <v>1089720</v>
      </c>
      <c r="T74" s="60">
        <f>'FY30'!R74</f>
        <v>1116720</v>
      </c>
      <c r="U74" s="60">
        <f>'FY31'!R74</f>
        <v>1143720</v>
      </c>
      <c r="W74" s="60">
        <f>'FY26'!X74</f>
        <v>186800</v>
      </c>
      <c r="X74" s="60">
        <f>'FY27'!X74</f>
        <v>198000</v>
      </c>
      <c r="Y74" s="60">
        <f>'FY28'!X74</f>
        <v>234000</v>
      </c>
      <c r="Z74" s="60">
        <f>'FY29'!X74</f>
        <v>231000</v>
      </c>
      <c r="AA74" s="60">
        <f>'FY30'!X74</f>
        <v>246000</v>
      </c>
      <c r="AB74" s="60">
        <f>'FY31'!X74</f>
        <v>252000</v>
      </c>
      <c r="AC74" s="194"/>
      <c r="AD74" s="60">
        <f>'FY27'!AD74</f>
        <v>0</v>
      </c>
      <c r="AE74" s="60">
        <f>'FY28'!AD74</f>
        <v>195000</v>
      </c>
      <c r="AF74" s="60">
        <f>'FY29'!AD74</f>
        <v>288000</v>
      </c>
      <c r="AG74" s="60">
        <f>'FY30'!AD74</f>
        <v>422300</v>
      </c>
      <c r="AH74" s="60">
        <f>'FY31'!AD74</f>
        <v>546000</v>
      </c>
      <c r="AI74" s="194"/>
      <c r="AJ74" s="60">
        <f>'FY27'!AJ74</f>
        <v>0</v>
      </c>
      <c r="AK74" s="60">
        <f>'FY28'!AJ74</f>
        <v>0</v>
      </c>
      <c r="AL74" s="60">
        <f>'FY29'!AJ74</f>
        <v>380000</v>
      </c>
      <c r="AM74" s="60">
        <f>'FY30'!AJ74</f>
        <v>435050</v>
      </c>
      <c r="AN74" s="60">
        <f>'FY31'!AJ74</f>
        <v>512500</v>
      </c>
      <c r="AP74" s="60">
        <f>'FY26'!AD74</f>
        <v>0</v>
      </c>
      <c r="AQ74" s="60">
        <f>'FY27'!AP74</f>
        <v>0</v>
      </c>
      <c r="AR74" s="60">
        <f>'FY28'!AP74</f>
        <v>0</v>
      </c>
      <c r="AS74" s="60">
        <f>'FY29'!AP74</f>
        <v>0</v>
      </c>
      <c r="AT74" s="60">
        <f>'FY30'!AP74</f>
        <v>0</v>
      </c>
      <c r="AU74" s="60">
        <f>'FY31'!AP74</f>
        <v>0</v>
      </c>
      <c r="AW74" s="60">
        <f>'FY26'!AJ74</f>
        <v>1868000</v>
      </c>
      <c r="AX74" s="60">
        <f>'FY27'!AV74</f>
        <v>2016264</v>
      </c>
      <c r="AY74" s="60">
        <f>'FY28'!AV74</f>
        <v>2294664</v>
      </c>
      <c r="AZ74" s="60">
        <f>'FY29'!AV74</f>
        <v>2836280</v>
      </c>
      <c r="BA74" s="60">
        <f>'FY30'!AV74</f>
        <v>3088630</v>
      </c>
      <c r="BB74" s="60">
        <f>'FY31'!AV74</f>
        <v>3343780</v>
      </c>
      <c r="BD74" s="166"/>
      <c r="BE74" s="166"/>
    </row>
    <row r="75" spans="1:57" x14ac:dyDescent="0.25">
      <c r="A75" s="21" t="s">
        <v>67</v>
      </c>
      <c r="B75" s="60">
        <f>'FY26'!F75</f>
        <v>105981</v>
      </c>
      <c r="C75" s="60">
        <f>'FY27'!F75</f>
        <v>105981</v>
      </c>
      <c r="D75" s="60">
        <f>'FY28'!F75</f>
        <v>105981</v>
      </c>
      <c r="E75" s="60">
        <f>'FY29'!F75</f>
        <v>105981</v>
      </c>
      <c r="F75" s="60">
        <f>'FY30'!F75</f>
        <v>105981</v>
      </c>
      <c r="G75" s="60">
        <f>'FY31'!F75</f>
        <v>105981</v>
      </c>
      <c r="I75" s="60">
        <f>'FY26'!L75</f>
        <v>105981</v>
      </c>
      <c r="J75" s="60">
        <f>'FY27'!L75</f>
        <v>105981</v>
      </c>
      <c r="K75" s="60">
        <f>'FY28'!L75</f>
        <v>105981</v>
      </c>
      <c r="L75" s="60">
        <f>'FY29'!L75</f>
        <v>105981</v>
      </c>
      <c r="M75" s="60">
        <f>'FY30'!L75</f>
        <v>105981</v>
      </c>
      <c r="N75" s="60">
        <f>'FY31'!L75</f>
        <v>105981</v>
      </c>
      <c r="P75" s="60">
        <f>'FY26'!R75</f>
        <v>239137</v>
      </c>
      <c r="Q75" s="60">
        <f>'FY27'!R75</f>
        <v>239137</v>
      </c>
      <c r="R75" s="60">
        <f>'FY28'!R75</f>
        <v>239137</v>
      </c>
      <c r="S75" s="60">
        <f>'FY29'!R75</f>
        <v>239137</v>
      </c>
      <c r="T75" s="60">
        <f>'FY30'!R75</f>
        <v>239137</v>
      </c>
      <c r="U75" s="60">
        <f>'FY31'!R75</f>
        <v>239137</v>
      </c>
      <c r="W75" s="60">
        <f>'FY26'!X75</f>
        <v>29816</v>
      </c>
      <c r="X75" s="60">
        <f>'FY27'!X75</f>
        <v>52305</v>
      </c>
      <c r="Y75" s="60">
        <f>'FY28'!X75</f>
        <v>57120</v>
      </c>
      <c r="Z75" s="60">
        <f>'FY29'!X75</f>
        <v>57120</v>
      </c>
      <c r="AA75" s="60">
        <f>'FY30'!X75</f>
        <v>57120</v>
      </c>
      <c r="AB75" s="60">
        <f>'FY31'!X75</f>
        <v>57120</v>
      </c>
      <c r="AC75" s="194"/>
      <c r="AD75" s="60">
        <f>'FY27'!AD75</f>
        <v>47550</v>
      </c>
      <c r="AE75" s="60">
        <f>'FY28'!AD75</f>
        <v>47550</v>
      </c>
      <c r="AF75" s="60">
        <f>'FY29'!AD75</f>
        <v>68472</v>
      </c>
      <c r="AG75" s="60">
        <f>'FY30'!AD75</f>
        <v>97953</v>
      </c>
      <c r="AH75" s="60">
        <f>'FY31'!AD75</f>
        <v>123630</v>
      </c>
      <c r="AI75" s="194"/>
      <c r="AJ75" s="60">
        <f>'FY27'!AJ75</f>
        <v>0</v>
      </c>
      <c r="AK75" s="60">
        <f>'FY28'!AJ75</f>
        <v>90345</v>
      </c>
      <c r="AL75" s="60">
        <f>'FY29'!AJ75</f>
        <v>90345</v>
      </c>
      <c r="AM75" s="60">
        <f>'FY30'!AJ75</f>
        <v>107463</v>
      </c>
      <c r="AN75" s="60">
        <f>'FY31'!AJ75</f>
        <v>118875</v>
      </c>
      <c r="AP75" s="60">
        <f>'FY26'!AD75</f>
        <v>0</v>
      </c>
      <c r="AQ75" s="60">
        <f>'FY27'!AP75</f>
        <v>0</v>
      </c>
      <c r="AR75" s="60">
        <f>'FY28'!AP75</f>
        <v>0</v>
      </c>
      <c r="AS75" s="60">
        <f>'FY29'!AP75</f>
        <v>0</v>
      </c>
      <c r="AT75" s="60">
        <f>'FY30'!AP75</f>
        <v>0</v>
      </c>
      <c r="AU75" s="60">
        <f>'FY31'!AP75</f>
        <v>0</v>
      </c>
      <c r="AW75" s="60">
        <f>'FY26'!AJ75</f>
        <v>480915</v>
      </c>
      <c r="AX75" s="60">
        <f>'FY27'!AV75</f>
        <v>550954</v>
      </c>
      <c r="AY75" s="60">
        <f>'FY28'!AV75</f>
        <v>646114</v>
      </c>
      <c r="AZ75" s="60">
        <f>'FY29'!AV75</f>
        <v>667036</v>
      </c>
      <c r="BA75" s="60">
        <f>'FY30'!AV75</f>
        <v>713635</v>
      </c>
      <c r="BB75" s="60">
        <f>'FY31'!AV75</f>
        <v>750724</v>
      </c>
      <c r="BD75" s="166"/>
      <c r="BE75" s="166"/>
    </row>
    <row r="76" spans="1:57" x14ac:dyDescent="0.25">
      <c r="A76" s="21" t="s">
        <v>68</v>
      </c>
      <c r="B76" s="60">
        <f>'FY26'!F76</f>
        <v>40000</v>
      </c>
      <c r="C76" s="60">
        <f>'FY27'!F76</f>
        <v>70000</v>
      </c>
      <c r="D76" s="60">
        <f>'FY28'!F76</f>
        <v>70000</v>
      </c>
      <c r="E76" s="60">
        <f>'FY29'!F76</f>
        <v>70000</v>
      </c>
      <c r="F76" s="60">
        <f>'FY30'!F76</f>
        <v>70000</v>
      </c>
      <c r="G76" s="60">
        <f>'FY31'!F76</f>
        <v>70000</v>
      </c>
      <c r="I76" s="60">
        <f>'FY26'!L76</f>
        <v>40000</v>
      </c>
      <c r="J76" s="60">
        <f>'FY27'!L76</f>
        <v>70000</v>
      </c>
      <c r="K76" s="60">
        <f>'FY28'!L76</f>
        <v>70000</v>
      </c>
      <c r="L76" s="60">
        <f>'FY29'!L76</f>
        <v>70000</v>
      </c>
      <c r="M76" s="60">
        <f>'FY30'!L76</f>
        <v>70000</v>
      </c>
      <c r="N76" s="60">
        <f>'FY31'!L76</f>
        <v>70000</v>
      </c>
      <c r="P76" s="60">
        <f>'FY26'!R76</f>
        <v>40000</v>
      </c>
      <c r="Q76" s="60">
        <f>'FY27'!R76</f>
        <v>80000</v>
      </c>
      <c r="R76" s="60">
        <f>'FY28'!R76</f>
        <v>70000</v>
      </c>
      <c r="S76" s="60">
        <f>'FY29'!R76</f>
        <v>70000</v>
      </c>
      <c r="T76" s="60">
        <f>'FY30'!R76</f>
        <v>70000</v>
      </c>
      <c r="U76" s="60">
        <f>'FY31'!R76</f>
        <v>70000</v>
      </c>
      <c r="W76" s="60">
        <f>'FY26'!X76</f>
        <v>0</v>
      </c>
      <c r="X76" s="60">
        <f>'FY27'!X76</f>
        <v>30000</v>
      </c>
      <c r="Y76" s="60">
        <f>'FY28'!X76</f>
        <v>35000</v>
      </c>
      <c r="Z76" s="60">
        <f>'FY29'!X76</f>
        <v>35000</v>
      </c>
      <c r="AA76" s="60">
        <f>'FY30'!X76</f>
        <v>35000</v>
      </c>
      <c r="AB76" s="60">
        <f>'FY31'!X76</f>
        <v>35000</v>
      </c>
      <c r="AC76" s="194"/>
      <c r="AD76" s="60">
        <f>'FY27'!AD76</f>
        <v>10000</v>
      </c>
      <c r="AE76" s="60">
        <f>'FY28'!AD76</f>
        <v>20000</v>
      </c>
      <c r="AF76" s="60">
        <f>'FY29'!AD76</f>
        <v>20000</v>
      </c>
      <c r="AG76" s="60">
        <f>'FY30'!AD76</f>
        <v>20000</v>
      </c>
      <c r="AH76" s="60">
        <f>'FY31'!AD76</f>
        <v>20000</v>
      </c>
      <c r="AI76" s="194"/>
      <c r="AJ76" s="60">
        <f>'FY27'!AJ76</f>
        <v>0</v>
      </c>
      <c r="AK76" s="60">
        <f>'FY28'!AJ76</f>
        <v>0</v>
      </c>
      <c r="AL76" s="60">
        <f>'FY29'!AJ76</f>
        <v>10000</v>
      </c>
      <c r="AM76" s="60">
        <f>'FY30'!AJ76</f>
        <v>0</v>
      </c>
      <c r="AN76" s="60">
        <f>'FY31'!AJ76</f>
        <v>0</v>
      </c>
      <c r="AP76" s="60">
        <f>'FY26'!AD76</f>
        <v>90000</v>
      </c>
      <c r="AQ76" s="60">
        <f>'FY27'!AP76</f>
        <v>0</v>
      </c>
      <c r="AR76" s="60">
        <f>'FY28'!AP76</f>
        <v>0</v>
      </c>
      <c r="AS76" s="60">
        <f>'FY29'!AP76</f>
        <v>0</v>
      </c>
      <c r="AT76" s="60">
        <f>'FY30'!AP76</f>
        <v>0</v>
      </c>
      <c r="AU76" s="60">
        <f>'FY31'!AP76</f>
        <v>0</v>
      </c>
      <c r="AW76" s="60">
        <f>'FY26'!AJ76</f>
        <v>210000</v>
      </c>
      <c r="AX76" s="60">
        <f>'FY27'!AV76</f>
        <v>260000</v>
      </c>
      <c r="AY76" s="60">
        <f>'FY28'!AV76</f>
        <v>265000</v>
      </c>
      <c r="AZ76" s="60">
        <f>'FY29'!AV76</f>
        <v>275000</v>
      </c>
      <c r="BA76" s="60">
        <f>'FY30'!AV76</f>
        <v>265000</v>
      </c>
      <c r="BB76" s="60">
        <f>'FY31'!AV76</f>
        <v>265000</v>
      </c>
      <c r="BD76" s="166"/>
      <c r="BE76" s="166"/>
    </row>
    <row r="77" spans="1:57" x14ac:dyDescent="0.25">
      <c r="A77" s="21" t="s">
        <v>69</v>
      </c>
      <c r="B77" s="60">
        <f>'FY26'!F77</f>
        <v>0</v>
      </c>
      <c r="C77" s="60">
        <f>'FY27'!F77</f>
        <v>0</v>
      </c>
      <c r="D77" s="60">
        <f>'FY28'!F77</f>
        <v>0</v>
      </c>
      <c r="E77" s="60">
        <f>'FY29'!F77</f>
        <v>0</v>
      </c>
      <c r="F77" s="60">
        <f>'FY30'!F77</f>
        <v>0</v>
      </c>
      <c r="G77" s="60">
        <f>'FY31'!F77</f>
        <v>0</v>
      </c>
      <c r="I77" s="60">
        <f>'FY26'!L77</f>
        <v>0</v>
      </c>
      <c r="J77" s="60">
        <f>'FY27'!L77</f>
        <v>0</v>
      </c>
      <c r="K77" s="60">
        <f>'FY28'!L77</f>
        <v>0</v>
      </c>
      <c r="L77" s="60">
        <f>'FY29'!L77</f>
        <v>0</v>
      </c>
      <c r="M77" s="60">
        <f>'FY30'!L77</f>
        <v>0</v>
      </c>
      <c r="N77" s="60">
        <f>'FY31'!L77</f>
        <v>0</v>
      </c>
      <c r="P77" s="60">
        <f>'FY26'!R77</f>
        <v>0</v>
      </c>
      <c r="Q77" s="60">
        <f>'FY27'!R77</f>
        <v>0</v>
      </c>
      <c r="R77" s="60">
        <f>'FY28'!R77</f>
        <v>0</v>
      </c>
      <c r="S77" s="60">
        <f>'FY29'!R77</f>
        <v>0</v>
      </c>
      <c r="T77" s="60">
        <f>'FY30'!R77</f>
        <v>0</v>
      </c>
      <c r="U77" s="60">
        <f>'FY31'!R77</f>
        <v>0</v>
      </c>
      <c r="W77" s="60">
        <f>'FY26'!X77</f>
        <v>0</v>
      </c>
      <c r="X77" s="60">
        <f>'FY27'!X77</f>
        <v>0</v>
      </c>
      <c r="Y77" s="60">
        <f>'FY28'!X77</f>
        <v>0</v>
      </c>
      <c r="Z77" s="60">
        <f>'FY29'!X77</f>
        <v>0</v>
      </c>
      <c r="AA77" s="60">
        <f>'FY30'!X77</f>
        <v>0</v>
      </c>
      <c r="AB77" s="60">
        <f>'FY31'!X77</f>
        <v>0</v>
      </c>
      <c r="AC77" s="194"/>
      <c r="AD77" s="60">
        <f>'FY27'!AD77</f>
        <v>0</v>
      </c>
      <c r="AE77" s="60">
        <f>'FY28'!AD77</f>
        <v>0</v>
      </c>
      <c r="AF77" s="60">
        <f>'FY29'!AD77</f>
        <v>0</v>
      </c>
      <c r="AG77" s="60">
        <f>'FY30'!AD77</f>
        <v>0</v>
      </c>
      <c r="AH77" s="60">
        <f>'FY31'!AD77</f>
        <v>0</v>
      </c>
      <c r="AI77" s="194"/>
      <c r="AJ77" s="60">
        <f>'FY27'!AJ77</f>
        <v>0</v>
      </c>
      <c r="AK77" s="60">
        <f>'FY28'!AJ77</f>
        <v>0</v>
      </c>
      <c r="AL77" s="60">
        <f>'FY29'!AJ77</f>
        <v>0</v>
      </c>
      <c r="AM77" s="60">
        <f>'FY30'!AJ77</f>
        <v>0</v>
      </c>
      <c r="AN77" s="60">
        <f>'FY31'!AJ77</f>
        <v>0</v>
      </c>
      <c r="AP77" s="60">
        <f>'FY26'!AD77</f>
        <v>1993322</v>
      </c>
      <c r="AQ77" s="60">
        <f>'FY27'!AP77</f>
        <v>1993322</v>
      </c>
      <c r="AR77" s="60">
        <f>'FY28'!AP77</f>
        <v>1993322</v>
      </c>
      <c r="AS77" s="60">
        <f>'FY29'!AP77</f>
        <v>1993322</v>
      </c>
      <c r="AT77" s="60">
        <f>'FY30'!AP77</f>
        <v>1993322</v>
      </c>
      <c r="AU77" s="60">
        <f>'FY31'!AP77</f>
        <v>1993322</v>
      </c>
      <c r="AW77" s="60">
        <f>'FY26'!AJ77</f>
        <v>1993322</v>
      </c>
      <c r="AX77" s="60">
        <f>'FY27'!AV77</f>
        <v>1993322</v>
      </c>
      <c r="AY77" s="60">
        <f>'FY28'!AV77</f>
        <v>1993322</v>
      </c>
      <c r="AZ77" s="60">
        <f>'FY29'!AV77</f>
        <v>1993322</v>
      </c>
      <c r="BA77" s="60">
        <f>'FY30'!AV77</f>
        <v>1993322</v>
      </c>
      <c r="BB77" s="60">
        <f>'FY31'!AV77</f>
        <v>1993322</v>
      </c>
      <c r="BD77" s="166"/>
      <c r="BE77" s="166"/>
    </row>
    <row r="78" spans="1:57" x14ac:dyDescent="0.25">
      <c r="A78" s="21" t="s">
        <v>70</v>
      </c>
      <c r="B78" s="60">
        <f>'FY26'!F78</f>
        <v>0</v>
      </c>
      <c r="C78" s="60">
        <f>'FY27'!F78</f>
        <v>0</v>
      </c>
      <c r="D78" s="60">
        <f>'FY28'!F78</f>
        <v>0</v>
      </c>
      <c r="E78" s="60">
        <f>'FY29'!F78</f>
        <v>0</v>
      </c>
      <c r="F78" s="60">
        <f>'FY30'!F78</f>
        <v>0</v>
      </c>
      <c r="G78" s="60">
        <f>'FY31'!F78</f>
        <v>0</v>
      </c>
      <c r="I78" s="60">
        <f>'FY26'!L78</f>
        <v>0</v>
      </c>
      <c r="J78" s="60">
        <f>'FY27'!L78</f>
        <v>0</v>
      </c>
      <c r="K78" s="60">
        <f>'FY28'!L78</f>
        <v>0</v>
      </c>
      <c r="L78" s="60">
        <f>'FY29'!L78</f>
        <v>0</v>
      </c>
      <c r="M78" s="60">
        <f>'FY30'!L78</f>
        <v>0</v>
      </c>
      <c r="N78" s="60">
        <f>'FY31'!L78</f>
        <v>0</v>
      </c>
      <c r="P78" s="60">
        <f>'FY26'!R78</f>
        <v>0</v>
      </c>
      <c r="Q78" s="60">
        <f>'FY27'!R78</f>
        <v>0</v>
      </c>
      <c r="R78" s="60">
        <f>'FY28'!R78</f>
        <v>0</v>
      </c>
      <c r="S78" s="60">
        <f>'FY29'!R78</f>
        <v>0</v>
      </c>
      <c r="T78" s="60">
        <f>'FY30'!R78</f>
        <v>0</v>
      </c>
      <c r="U78" s="60">
        <f>'FY31'!R78</f>
        <v>0</v>
      </c>
      <c r="W78" s="60">
        <f>'FY26'!X78</f>
        <v>0</v>
      </c>
      <c r="X78" s="60">
        <f>'FY27'!X78</f>
        <v>0</v>
      </c>
      <c r="Y78" s="60">
        <f>'FY28'!X78</f>
        <v>0</v>
      </c>
      <c r="Z78" s="60">
        <f>'FY29'!X78</f>
        <v>0</v>
      </c>
      <c r="AA78" s="60">
        <f>'FY30'!X78</f>
        <v>0</v>
      </c>
      <c r="AB78" s="60">
        <f>'FY31'!X78</f>
        <v>0</v>
      </c>
      <c r="AC78" s="194"/>
      <c r="AD78" s="60">
        <f>'FY27'!AD78</f>
        <v>0</v>
      </c>
      <c r="AE78" s="60">
        <f>'FY28'!AD78</f>
        <v>0</v>
      </c>
      <c r="AF78" s="60">
        <f>'FY29'!AD78</f>
        <v>0</v>
      </c>
      <c r="AG78" s="60">
        <f>'FY30'!AD78</f>
        <v>0</v>
      </c>
      <c r="AH78" s="60">
        <f>'FY31'!AD78</f>
        <v>0</v>
      </c>
      <c r="AI78" s="194"/>
      <c r="AJ78" s="60">
        <f>'FY27'!AJ78</f>
        <v>0</v>
      </c>
      <c r="AK78" s="60">
        <f>'FY28'!AJ78</f>
        <v>0</v>
      </c>
      <c r="AL78" s="60">
        <f>'FY29'!AJ78</f>
        <v>0</v>
      </c>
      <c r="AM78" s="60">
        <f>'FY30'!AJ78</f>
        <v>0</v>
      </c>
      <c r="AN78" s="60">
        <f>'FY31'!AJ78</f>
        <v>0</v>
      </c>
      <c r="AP78" s="60">
        <f>'FY26'!AD78</f>
        <v>0</v>
      </c>
      <c r="AQ78" s="60">
        <f>'FY27'!AP78</f>
        <v>0</v>
      </c>
      <c r="AR78" s="60">
        <f>'FY28'!AP78</f>
        <v>0</v>
      </c>
      <c r="AS78" s="60">
        <f>'FY29'!AP78</f>
        <v>0</v>
      </c>
      <c r="AT78" s="60">
        <f>'FY30'!AP78</f>
        <v>0</v>
      </c>
      <c r="AU78" s="60">
        <f>'FY31'!AP78</f>
        <v>0</v>
      </c>
      <c r="AW78" s="60">
        <f>'FY26'!AJ78</f>
        <v>0</v>
      </c>
      <c r="AX78" s="60">
        <f>'FY27'!AV78</f>
        <v>0</v>
      </c>
      <c r="AY78" s="60">
        <f>'FY28'!AV78</f>
        <v>0</v>
      </c>
      <c r="AZ78" s="60">
        <f>'FY29'!AV78</f>
        <v>0</v>
      </c>
      <c r="BA78" s="60">
        <f>'FY30'!AV78</f>
        <v>0</v>
      </c>
      <c r="BB78" s="60">
        <f>'FY31'!AV78</f>
        <v>0</v>
      </c>
      <c r="BD78" s="166"/>
      <c r="BE78" s="166"/>
    </row>
    <row r="79" spans="1:57" x14ac:dyDescent="0.25">
      <c r="A79" s="21" t="s">
        <v>71</v>
      </c>
      <c r="B79" s="60">
        <f>'FY26'!F79</f>
        <v>0</v>
      </c>
      <c r="C79" s="60">
        <f>'FY27'!F79</f>
        <v>0</v>
      </c>
      <c r="D79" s="60">
        <f>'FY28'!F79</f>
        <v>0</v>
      </c>
      <c r="E79" s="60">
        <f>'FY29'!F79</f>
        <v>0</v>
      </c>
      <c r="F79" s="60">
        <f>'FY30'!F79</f>
        <v>0</v>
      </c>
      <c r="G79" s="60">
        <f>'FY31'!F79</f>
        <v>0</v>
      </c>
      <c r="I79" s="60">
        <f>'FY26'!L79</f>
        <v>0</v>
      </c>
      <c r="J79" s="60">
        <f>'FY27'!L79</f>
        <v>0</v>
      </c>
      <c r="K79" s="60">
        <f>'FY28'!L79</f>
        <v>0</v>
      </c>
      <c r="L79" s="60">
        <f>'FY29'!L79</f>
        <v>0</v>
      </c>
      <c r="M79" s="60">
        <f>'FY30'!L79</f>
        <v>0</v>
      </c>
      <c r="N79" s="60">
        <f>'FY31'!L79</f>
        <v>0</v>
      </c>
      <c r="P79" s="60">
        <f>'FY26'!R79</f>
        <v>0</v>
      </c>
      <c r="Q79" s="60">
        <f>'FY27'!R79</f>
        <v>0</v>
      </c>
      <c r="R79" s="60">
        <f>'FY28'!R79</f>
        <v>0</v>
      </c>
      <c r="S79" s="60">
        <f>'FY29'!R79</f>
        <v>0</v>
      </c>
      <c r="T79" s="60">
        <f>'FY30'!R79</f>
        <v>0</v>
      </c>
      <c r="U79" s="60">
        <f>'FY31'!R79</f>
        <v>0</v>
      </c>
      <c r="W79" s="60">
        <f>'FY26'!X79</f>
        <v>0</v>
      </c>
      <c r="X79" s="60">
        <f>'FY27'!X79</f>
        <v>0</v>
      </c>
      <c r="Y79" s="60">
        <f>'FY28'!X79</f>
        <v>0</v>
      </c>
      <c r="Z79" s="60">
        <f>'FY29'!X79</f>
        <v>0</v>
      </c>
      <c r="AA79" s="60">
        <f>'FY30'!X79</f>
        <v>0</v>
      </c>
      <c r="AB79" s="60">
        <f>'FY31'!X79</f>
        <v>0</v>
      </c>
      <c r="AC79" s="194"/>
      <c r="AD79" s="60">
        <f>'FY27'!AD79</f>
        <v>0</v>
      </c>
      <c r="AE79" s="60">
        <f>'FY28'!AD79</f>
        <v>0</v>
      </c>
      <c r="AF79" s="60">
        <f>'FY29'!AD79</f>
        <v>0</v>
      </c>
      <c r="AG79" s="60">
        <f>'FY30'!AD79</f>
        <v>0</v>
      </c>
      <c r="AH79" s="60">
        <f>'FY31'!AD79</f>
        <v>0</v>
      </c>
      <c r="AI79" s="194"/>
      <c r="AJ79" s="60">
        <f>'FY27'!AJ79</f>
        <v>0</v>
      </c>
      <c r="AK79" s="60">
        <f>'FY28'!AJ79</f>
        <v>0</v>
      </c>
      <c r="AL79" s="60">
        <f>'FY29'!AJ79</f>
        <v>0</v>
      </c>
      <c r="AM79" s="60">
        <f>'FY30'!AJ79</f>
        <v>0</v>
      </c>
      <c r="AN79" s="60">
        <f>'FY31'!AJ79</f>
        <v>0</v>
      </c>
      <c r="AP79" s="60">
        <f>'FY26'!AD79</f>
        <v>0</v>
      </c>
      <c r="AQ79" s="60">
        <f>'FY27'!AP79</f>
        <v>0</v>
      </c>
      <c r="AR79" s="60">
        <f>'FY28'!AP79</f>
        <v>0</v>
      </c>
      <c r="AS79" s="60">
        <f>'FY29'!AP79</f>
        <v>0</v>
      </c>
      <c r="AT79" s="60">
        <f>'FY30'!AP79</f>
        <v>0</v>
      </c>
      <c r="AU79" s="60">
        <f>'FY31'!AP79</f>
        <v>0</v>
      </c>
      <c r="AW79" s="60">
        <f>'FY26'!AJ79</f>
        <v>0</v>
      </c>
      <c r="AX79" s="60">
        <f>'FY27'!AV79</f>
        <v>0</v>
      </c>
      <c r="AY79" s="60">
        <f>'FY28'!AV79</f>
        <v>0</v>
      </c>
      <c r="AZ79" s="60">
        <f>'FY29'!AV79</f>
        <v>0</v>
      </c>
      <c r="BA79" s="60">
        <f>'FY30'!AV79</f>
        <v>0</v>
      </c>
      <c r="BB79" s="60">
        <f>'FY31'!AV79</f>
        <v>0</v>
      </c>
      <c r="BD79" s="166"/>
      <c r="BE79" s="166"/>
    </row>
    <row r="80" spans="1:57" x14ac:dyDescent="0.25">
      <c r="A80" s="21" t="s">
        <v>72</v>
      </c>
      <c r="B80" s="60">
        <f>'FY26'!F80</f>
        <v>482177.07899999991</v>
      </c>
      <c r="C80" s="60">
        <f>'FY27'!F80</f>
        <v>490727.07899999997</v>
      </c>
      <c r="D80" s="60">
        <f>'FY28'!F80</f>
        <v>499277.07899999997</v>
      </c>
      <c r="E80" s="60">
        <f>'FY29'!F80</f>
        <v>507827.07899999997</v>
      </c>
      <c r="F80" s="60">
        <f>'FY30'!F80</f>
        <v>516377.07899999997</v>
      </c>
      <c r="G80" s="60">
        <f>'FY31'!F80</f>
        <v>524927.07900000003</v>
      </c>
      <c r="I80" s="60">
        <f>'FY26'!L80</f>
        <v>444110.46749999997</v>
      </c>
      <c r="J80" s="60">
        <f>'FY27'!L80</f>
        <v>451985.46750000003</v>
      </c>
      <c r="K80" s="60">
        <f>'FY28'!L80</f>
        <v>459860.46750000003</v>
      </c>
      <c r="L80" s="60">
        <f>'FY29'!L80</f>
        <v>467735.46750000009</v>
      </c>
      <c r="M80" s="60">
        <f>'FY30'!L80</f>
        <v>475610.46749999997</v>
      </c>
      <c r="N80" s="60">
        <f>'FY31'!L80</f>
        <v>483485.46749999997</v>
      </c>
      <c r="P80" s="60">
        <f>'FY26'!R80</f>
        <v>558310.30199999991</v>
      </c>
      <c r="Q80" s="60">
        <f>'FY27'!R80</f>
        <v>568225.54799999995</v>
      </c>
      <c r="R80" s="60">
        <f>'FY28'!R80</f>
        <v>578125.54799999995</v>
      </c>
      <c r="S80" s="60">
        <f>'FY29'!R80</f>
        <v>588025.54799999995</v>
      </c>
      <c r="T80" s="60">
        <f>'FY30'!R80</f>
        <v>597925.54800000007</v>
      </c>
      <c r="U80" s="60">
        <f>'FY31'!R80</f>
        <v>607825.54799999995</v>
      </c>
      <c r="W80" s="60">
        <f>'FY26'!X80</f>
        <v>141372</v>
      </c>
      <c r="X80" s="60">
        <f>'FY27'!X80</f>
        <v>142560</v>
      </c>
      <c r="Y80" s="60">
        <f>'FY28'!X80</f>
        <v>172260</v>
      </c>
      <c r="Z80" s="60">
        <f>'FY29'!X80</f>
        <v>175230.00000000003</v>
      </c>
      <c r="AA80" s="60">
        <f>'FY30'!X80</f>
        <v>178200</v>
      </c>
      <c r="AB80" s="60">
        <f>'FY31'!X80</f>
        <v>178200</v>
      </c>
      <c r="AC80" s="194"/>
      <c r="AD80" s="60">
        <f>'FY27'!AD80</f>
        <v>172800</v>
      </c>
      <c r="AE80" s="60">
        <f>'FY28'!AD80</f>
        <v>176400.00000000003</v>
      </c>
      <c r="AF80" s="60">
        <f>'FY29'!AD80</f>
        <v>264600</v>
      </c>
      <c r="AG80" s="60">
        <f>'FY30'!AD80</f>
        <v>360000</v>
      </c>
      <c r="AH80" s="60">
        <f>'FY31'!AD80</f>
        <v>367199.99999999994</v>
      </c>
      <c r="AI80" s="194"/>
      <c r="AJ80" s="60">
        <f>'FY27'!AJ80</f>
        <v>0</v>
      </c>
      <c r="AK80" s="60">
        <f>'FY28'!AJ80</f>
        <v>280800</v>
      </c>
      <c r="AL80" s="60">
        <f>'FY29'!AJ80</f>
        <v>280800</v>
      </c>
      <c r="AM80" s="60">
        <f>'FY30'!AJ80</f>
        <v>280800</v>
      </c>
      <c r="AN80" s="60">
        <f>'FY31'!AJ80</f>
        <v>280800</v>
      </c>
      <c r="AP80" s="60">
        <f>'FY26'!AD80</f>
        <v>0</v>
      </c>
      <c r="AQ80" s="60">
        <f>'FY27'!AP80</f>
        <v>0</v>
      </c>
      <c r="AR80" s="60">
        <f>'FY28'!AP80</f>
        <v>0</v>
      </c>
      <c r="AS80" s="60">
        <f>'FY29'!AP80</f>
        <v>0</v>
      </c>
      <c r="AT80" s="60">
        <f>'FY30'!AP80</f>
        <v>0</v>
      </c>
      <c r="AU80" s="60">
        <f>'FY31'!AP80</f>
        <v>0</v>
      </c>
      <c r="AW80" s="60">
        <f>'FY26'!AJ80</f>
        <v>1625969.8484999998</v>
      </c>
      <c r="AX80" s="60">
        <f>'FY27'!AV80</f>
        <v>1826298.0944999999</v>
      </c>
      <c r="AY80" s="60">
        <f>'FY28'!AV80</f>
        <v>2166723.0945000001</v>
      </c>
      <c r="AZ80" s="60">
        <f>'FY29'!AV80</f>
        <v>2284218.0945000001</v>
      </c>
      <c r="BA80" s="60">
        <f>'FY30'!AV80</f>
        <v>2408913.0945000001</v>
      </c>
      <c r="BB80" s="60">
        <f>'FY31'!AV80</f>
        <v>2442438.0944999997</v>
      </c>
      <c r="BD80" s="166"/>
      <c r="BE80" s="166"/>
    </row>
    <row r="81" spans="1:57" x14ac:dyDescent="0.25">
      <c r="A81" s="22" t="s">
        <v>73</v>
      </c>
      <c r="B81" s="60">
        <f>'FY26'!F81</f>
        <v>650473.92269999988</v>
      </c>
      <c r="C81" s="60">
        <f>'FY27'!F81</f>
        <v>657718.9227</v>
      </c>
      <c r="D81" s="60">
        <f>'FY28'!F81</f>
        <v>664963.9227</v>
      </c>
      <c r="E81" s="60">
        <f>'FY29'!F81</f>
        <v>672208.92269999988</v>
      </c>
      <c r="F81" s="60">
        <f>'FY30'!F81</f>
        <v>679453.9227</v>
      </c>
      <c r="G81" s="60">
        <f>'FY31'!F81</f>
        <v>686698.92269999976</v>
      </c>
      <c r="I81" s="60">
        <f>'FY26'!L81</f>
        <v>484825.28399999993</v>
      </c>
      <c r="J81" s="60">
        <f>'FY27'!L81</f>
        <v>490225.28400000004</v>
      </c>
      <c r="K81" s="60">
        <f>'FY28'!L81</f>
        <v>495625.28400000004</v>
      </c>
      <c r="L81" s="60">
        <f>'FY29'!L81</f>
        <v>501025.28399999999</v>
      </c>
      <c r="M81" s="60">
        <f>'FY30'!L81</f>
        <v>506425.28399999993</v>
      </c>
      <c r="N81" s="60">
        <f>'FY31'!L81</f>
        <v>511825.28399999999</v>
      </c>
      <c r="P81" s="60">
        <f>'FY26'!R81</f>
        <v>888846.35399999993</v>
      </c>
      <c r="Q81" s="60">
        <f>'FY27'!R81</f>
        <v>898746.35400000005</v>
      </c>
      <c r="R81" s="60">
        <f>'FY28'!R81</f>
        <v>908646.35400000005</v>
      </c>
      <c r="S81" s="60">
        <f>'FY29'!R81</f>
        <v>918546.35400000005</v>
      </c>
      <c r="T81" s="60">
        <f>'FY30'!R81</f>
        <v>928446.35400000005</v>
      </c>
      <c r="U81" s="60">
        <f>'FY31'!R81</f>
        <v>938346.35399999982</v>
      </c>
      <c r="W81" s="60">
        <f>'FY26'!X81</f>
        <v>258389.99999999997</v>
      </c>
      <c r="X81" s="60">
        <f>'FY27'!X81</f>
        <v>264330</v>
      </c>
      <c r="Y81" s="60">
        <f>'FY28'!X81</f>
        <v>276210.00000000006</v>
      </c>
      <c r="Z81" s="60">
        <f>'FY29'!X81</f>
        <v>279180</v>
      </c>
      <c r="AA81" s="60">
        <f>'FY30'!X81</f>
        <v>282150</v>
      </c>
      <c r="AB81" s="60">
        <f>'FY31'!X81</f>
        <v>282150</v>
      </c>
      <c r="AC81" s="194"/>
      <c r="AD81" s="60">
        <f>'FY27'!AD81</f>
        <v>344430</v>
      </c>
      <c r="AE81" s="60">
        <f>'FY28'!AD81</f>
        <v>348300</v>
      </c>
      <c r="AF81" s="60">
        <f>'FY29'!AD81</f>
        <v>510300</v>
      </c>
      <c r="AG81" s="60">
        <f>'FY30'!AD81</f>
        <v>679770</v>
      </c>
      <c r="AH81" s="60">
        <f>'FY31'!AD81</f>
        <v>687239.99999999988</v>
      </c>
      <c r="AI81" s="194"/>
      <c r="AJ81" s="60">
        <f>'FY27'!AJ81</f>
        <v>0</v>
      </c>
      <c r="AK81" s="60">
        <f>'FY28'!AJ81</f>
        <v>520650</v>
      </c>
      <c r="AL81" s="60">
        <f>'FY29'!AJ81</f>
        <v>520650</v>
      </c>
      <c r="AM81" s="60">
        <f>'FY30'!AJ81</f>
        <v>520650</v>
      </c>
      <c r="AN81" s="60">
        <f>'FY31'!AJ81</f>
        <v>520650</v>
      </c>
      <c r="AP81" s="60">
        <f>'FY26'!AD81</f>
        <v>0</v>
      </c>
      <c r="AQ81" s="60">
        <f>'FY27'!AP81</f>
        <v>0</v>
      </c>
      <c r="AR81" s="60">
        <f>'FY28'!AP81</f>
        <v>0</v>
      </c>
      <c r="AS81" s="60">
        <f>'FY29'!AP81</f>
        <v>0</v>
      </c>
      <c r="AT81" s="60">
        <f>'FY30'!AP81</f>
        <v>0</v>
      </c>
      <c r="AU81" s="60">
        <f>'FY31'!AP81</f>
        <v>0</v>
      </c>
      <c r="AW81" s="60">
        <f>'FY26'!AJ81</f>
        <v>2282535.5606999998</v>
      </c>
      <c r="AX81" s="60">
        <f>'FY27'!AV81</f>
        <v>2655450.5607000003</v>
      </c>
      <c r="AY81" s="60">
        <f>'FY28'!AV81</f>
        <v>3214395.5607000003</v>
      </c>
      <c r="AZ81" s="60">
        <f>'FY29'!AV81</f>
        <v>3401910.5607000003</v>
      </c>
      <c r="BA81" s="60">
        <f>'FY30'!AV81</f>
        <v>3596895.5607000003</v>
      </c>
      <c r="BB81" s="60">
        <f>'FY31'!AV81</f>
        <v>3626910.5606999993</v>
      </c>
      <c r="BD81" s="166"/>
      <c r="BE81" s="166"/>
    </row>
    <row r="82" spans="1:57" x14ac:dyDescent="0.25">
      <c r="A82" s="23"/>
      <c r="B82" s="65">
        <f>'FY26'!F82</f>
        <v>13655431.001699999</v>
      </c>
      <c r="C82" s="65">
        <f>'FY27'!F82</f>
        <v>13783686.001699999</v>
      </c>
      <c r="D82" s="65">
        <f>'FY28'!F82</f>
        <v>14051230.6017</v>
      </c>
      <c r="E82" s="65">
        <f>'FY29'!F82</f>
        <v>14250049.501699999</v>
      </c>
      <c r="F82" s="65">
        <f>'FY30'!F82</f>
        <v>14454817.501699999</v>
      </c>
      <c r="G82" s="65">
        <f>'FY31'!F82</f>
        <v>14659585.501699999</v>
      </c>
      <c r="I82" s="65">
        <f>'FY26'!L82</f>
        <v>13443303.751499999</v>
      </c>
      <c r="J82" s="65">
        <f>'FY27'!L82</f>
        <v>13569038.751499999</v>
      </c>
      <c r="K82" s="65">
        <f>'FY28'!L82</f>
        <v>13834063.351499999</v>
      </c>
      <c r="L82" s="65">
        <f>'FY29'!L82</f>
        <v>14030362.251499999</v>
      </c>
      <c r="M82" s="65">
        <f>'FY30'!L82</f>
        <v>14232610.251499999</v>
      </c>
      <c r="N82" s="65">
        <f>'FY31'!L82</f>
        <v>14434858.251499999</v>
      </c>
      <c r="P82" s="65">
        <f>'FY26'!R82</f>
        <v>30559685.655999999</v>
      </c>
      <c r="Q82" s="65">
        <f>'FY27'!R82</f>
        <v>31020235.901999999</v>
      </c>
      <c r="R82" s="65">
        <f>'FY28'!R82</f>
        <v>31802198.702</v>
      </c>
      <c r="S82" s="65">
        <f>'FY29'!R82</f>
        <v>32647892.651999999</v>
      </c>
      <c r="T82" s="65">
        <f>'FY30'!R82</f>
        <v>33211012.151999999</v>
      </c>
      <c r="U82" s="65">
        <f>'FY31'!R82</f>
        <v>33594581.652000003</v>
      </c>
      <c r="W82" s="65">
        <f>'FY26'!X82</f>
        <v>5694389</v>
      </c>
      <c r="X82" s="65">
        <f>'FY27'!X82</f>
        <v>6184529.7750000004</v>
      </c>
      <c r="Y82" s="65">
        <f>'FY28'!X82</f>
        <v>6379471.2000000002</v>
      </c>
      <c r="Z82" s="65">
        <f>'FY29'!X82</f>
        <v>6528362</v>
      </c>
      <c r="AA82" s="65">
        <f>'FY30'!X82</f>
        <v>6829509.125</v>
      </c>
      <c r="AB82" s="65">
        <f>'FY31'!X82</f>
        <v>6757565</v>
      </c>
      <c r="AC82" s="199"/>
      <c r="AD82" s="65">
        <f>'FY27'!AD82</f>
        <v>4644274</v>
      </c>
      <c r="AE82" s="65">
        <f>'FY28'!AD82</f>
        <v>7383444</v>
      </c>
      <c r="AF82" s="65">
        <f>'FY29'!AD82</f>
        <v>10754277.875</v>
      </c>
      <c r="AG82" s="65">
        <f>'FY30'!AD82</f>
        <v>14358970.5625</v>
      </c>
      <c r="AH82" s="65">
        <f>'FY31'!AD82</f>
        <v>17299158.125</v>
      </c>
      <c r="AI82" s="199"/>
      <c r="AJ82" s="65">
        <f>'FY27'!AJ82</f>
        <v>0</v>
      </c>
      <c r="AK82" s="65">
        <f>'FY28'!AJ82</f>
        <v>8442195</v>
      </c>
      <c r="AL82" s="65">
        <f>'FY29'!AJ82</f>
        <v>11657467.75</v>
      </c>
      <c r="AM82" s="65">
        <f>'FY30'!AJ82</f>
        <v>13591643</v>
      </c>
      <c r="AN82" s="65">
        <f>'FY31'!AJ82</f>
        <v>13533091.875</v>
      </c>
      <c r="AP82" s="65">
        <f>'FY26'!AD82</f>
        <v>2083322</v>
      </c>
      <c r="AQ82" s="65">
        <f>'FY27'!AP82</f>
        <v>1993322</v>
      </c>
      <c r="AR82" s="65">
        <f>'FY28'!AP82</f>
        <v>1993322</v>
      </c>
      <c r="AS82" s="65">
        <f>'FY29'!AP82</f>
        <v>1993322</v>
      </c>
      <c r="AT82" s="65">
        <f>'FY30'!AP82</f>
        <v>1993322</v>
      </c>
      <c r="AU82" s="65">
        <f>'FY31'!AP82</f>
        <v>1993322</v>
      </c>
      <c r="AW82" s="65">
        <f>'FY26'!AJ82</f>
        <v>65436131.409199998</v>
      </c>
      <c r="AX82" s="65">
        <f>'FY27'!AV82</f>
        <v>71195086.430199996</v>
      </c>
      <c r="AY82" s="65">
        <f>'FY28'!AV82</f>
        <v>83885924.855200008</v>
      </c>
      <c r="AZ82" s="65">
        <f>'FY29'!AV82</f>
        <v>91861734.030200005</v>
      </c>
      <c r="BA82" s="65">
        <f>'FY30'!AV82</f>
        <v>98671884.592700005</v>
      </c>
      <c r="BB82" s="65">
        <f>'FY31'!AV82</f>
        <v>102272162.4052</v>
      </c>
      <c r="BD82" s="166"/>
      <c r="BE82" s="166"/>
    </row>
    <row r="83" spans="1:57" x14ac:dyDescent="0.25">
      <c r="B83" s="57"/>
      <c r="C83" s="57"/>
      <c r="D83" s="57"/>
      <c r="E83" s="57"/>
      <c r="F83" s="57"/>
      <c r="G83" s="57"/>
      <c r="I83" s="57"/>
      <c r="J83" s="57"/>
      <c r="K83" s="57"/>
      <c r="L83" s="57"/>
      <c r="M83" s="57"/>
      <c r="N83" s="57"/>
      <c r="P83" s="57"/>
      <c r="Q83" s="57"/>
      <c r="R83" s="57"/>
      <c r="S83" s="57"/>
      <c r="T83" s="57"/>
      <c r="U83" s="57"/>
      <c r="W83" s="57"/>
      <c r="X83" s="57"/>
      <c r="Y83" s="57"/>
      <c r="Z83" s="57"/>
      <c r="AA83" s="57"/>
      <c r="AB83" s="57"/>
      <c r="AC83" s="57"/>
      <c r="AD83" s="57">
        <f>'FY27'!AD83</f>
        <v>0</v>
      </c>
      <c r="AE83" s="57">
        <f>'FY28'!AD83</f>
        <v>0</v>
      </c>
      <c r="AF83" s="57">
        <f>'FY29'!AD83</f>
        <v>0</v>
      </c>
      <c r="AG83" s="57">
        <f>'FY30'!AD83</f>
        <v>0</v>
      </c>
      <c r="AH83" s="57">
        <f>'FY31'!AD83</f>
        <v>0</v>
      </c>
      <c r="AI83" s="57"/>
      <c r="AJ83" s="57"/>
      <c r="AK83" s="57"/>
      <c r="AL83" s="57"/>
      <c r="AM83" s="57"/>
      <c r="AN83" s="57"/>
      <c r="AP83" s="57"/>
      <c r="AQ83" s="57"/>
      <c r="AR83" s="57"/>
      <c r="AS83" s="57"/>
      <c r="AT83" s="57"/>
      <c r="AU83" s="57"/>
      <c r="AW83" s="57"/>
      <c r="AX83" s="57"/>
      <c r="AY83" s="57"/>
      <c r="AZ83" s="57"/>
      <c r="BA83" s="57"/>
      <c r="BB83" s="57"/>
      <c r="BD83" s="166"/>
      <c r="BE83" s="166"/>
    </row>
    <row r="84" spans="1:57" x14ac:dyDescent="0.25">
      <c r="A84" s="24"/>
      <c r="B84" s="67" t="str">
        <f>'FY26'!F84</f>
        <v>FY26- Mtn</v>
      </c>
      <c r="C84" s="67" t="str">
        <f>'FY27'!F84</f>
        <v>FY27- Mtn</v>
      </c>
      <c r="D84" s="67" t="str">
        <f>'FY28'!F84</f>
        <v>FY28- Mtn</v>
      </c>
      <c r="E84" s="67" t="str">
        <f>'FY29'!F84</f>
        <v>FY29- Mtn</v>
      </c>
      <c r="F84" s="67" t="str">
        <f>'FY30'!F84</f>
        <v>FY30- Mtn</v>
      </c>
      <c r="G84" s="67" t="str">
        <f>'FY31'!F84</f>
        <v>FY31- Mtn</v>
      </c>
      <c r="I84" s="67" t="str">
        <f>'FY26'!L84</f>
        <v>FY26- Bon</v>
      </c>
      <c r="J84" s="67" t="str">
        <f>'FY27'!L84</f>
        <v>FY27- Bon</v>
      </c>
      <c r="K84" s="67" t="str">
        <f>'FY28'!L84</f>
        <v>FY28- Bon</v>
      </c>
      <c r="L84" s="67" t="str">
        <f>'FY29'!L84</f>
        <v>FY29- Bon</v>
      </c>
      <c r="M84" s="67" t="str">
        <f>'FY30'!L84</f>
        <v>FY30- Bon</v>
      </c>
      <c r="N84" s="67" t="str">
        <f>'FY31'!L84</f>
        <v>FY31- Bon</v>
      </c>
      <c r="P84" s="67" t="str">
        <f>'FY26'!R84</f>
        <v>FY26- East</v>
      </c>
      <c r="Q84" s="67" t="str">
        <f>'FY27'!R84</f>
        <v>FY27- East</v>
      </c>
      <c r="R84" s="67" t="str">
        <f>'FY28'!R84</f>
        <v>FY28- East</v>
      </c>
      <c r="S84" s="67" t="str">
        <f>'FY29'!R84</f>
        <v>FY29- East</v>
      </c>
      <c r="T84" s="67" t="str">
        <f>'FY30'!R84</f>
        <v>FY30- East</v>
      </c>
      <c r="U84" s="67" t="str">
        <f>'FY31'!R84</f>
        <v>FY31- East</v>
      </c>
      <c r="W84" s="67" t="str">
        <f>'FY26'!X84</f>
        <v>FY26- Cactus</v>
      </c>
      <c r="X84" s="67" t="str">
        <f>'FY27'!X84</f>
        <v>FY27- Cactus</v>
      </c>
      <c r="Y84" s="67" t="str">
        <f>'FY28'!X84</f>
        <v>FY28- Cactus</v>
      </c>
      <c r="Z84" s="67" t="str">
        <f>'FY29'!X84</f>
        <v>FY29- Cactus</v>
      </c>
      <c r="AA84" s="67" t="str">
        <f>'FY30'!X84</f>
        <v>FY30- Cactus</v>
      </c>
      <c r="AB84" s="67" t="str">
        <f>'FY31'!X84</f>
        <v>FY31- Cactus</v>
      </c>
      <c r="AC84" s="198"/>
      <c r="AD84" s="67" t="str">
        <f>'FY27'!AD84</f>
        <v>FY27- Sahara</v>
      </c>
      <c r="AE84" s="67" t="str">
        <f>'FY28'!AD84</f>
        <v>FY28- Sahara</v>
      </c>
      <c r="AF84" s="67" t="str">
        <f>'FY29'!AD84</f>
        <v>FY29- Sahara</v>
      </c>
      <c r="AG84" s="67" t="str">
        <f>'FY30'!AD84</f>
        <v>FY30- Sahara</v>
      </c>
      <c r="AH84" s="67" t="str">
        <f>'FY31'!AD84</f>
        <v>FY31- Sahara</v>
      </c>
      <c r="AI84" s="198"/>
      <c r="AJ84" s="67" t="str">
        <f>'FY27'!AJ84</f>
        <v>FY27- VV</v>
      </c>
      <c r="AK84" s="67" t="str">
        <f>'FY28'!AJ84</f>
        <v>FY27- VV</v>
      </c>
      <c r="AL84" s="67" t="str">
        <f>'FY29'!AJ84</f>
        <v>FY29- VV</v>
      </c>
      <c r="AM84" s="67" t="str">
        <f>'FY30'!AJ84</f>
        <v>FY30- VV</v>
      </c>
      <c r="AN84" s="67" t="str">
        <f>'FY31'!AJ84</f>
        <v>FY31- VV</v>
      </c>
      <c r="AP84" s="67" t="str">
        <f>'FY26'!AD84</f>
        <v>FY26 - Central</v>
      </c>
      <c r="AQ84" s="67" t="str">
        <f>'FY27'!AP84</f>
        <v>FY27 - Central</v>
      </c>
      <c r="AR84" s="67" t="str">
        <f>'FY28'!AP84</f>
        <v>FY28 - Central</v>
      </c>
      <c r="AS84" s="67" t="str">
        <f>'FY29'!AP84</f>
        <v>FY29 - Central</v>
      </c>
      <c r="AT84" s="67" t="str">
        <f>'FY30'!AP84</f>
        <v>FY30 - Central</v>
      </c>
      <c r="AU84" s="67" t="str">
        <f>'FY31'!AP84</f>
        <v>FY31 - Central</v>
      </c>
      <c r="AW84" s="67" t="str">
        <f>'FY26'!AJ84</f>
        <v>FY26- Sys</v>
      </c>
      <c r="AX84" s="67" t="str">
        <f>'FY27'!AV84</f>
        <v>FY27- Sys</v>
      </c>
      <c r="AY84" s="67" t="str">
        <f>'FY28'!AV84</f>
        <v>FY28- Sys</v>
      </c>
      <c r="AZ84" s="67" t="str">
        <f>'FY29'!AV84</f>
        <v>FY29- Sys</v>
      </c>
      <c r="BA84" s="67" t="str">
        <f>'FY30'!AV84</f>
        <v>FY29- Sys</v>
      </c>
      <c r="BB84" s="67" t="str">
        <f>'FY31'!AV84</f>
        <v>FY31- Sys</v>
      </c>
      <c r="BD84" s="166"/>
      <c r="BE84" s="166"/>
    </row>
    <row r="85" spans="1:57" x14ac:dyDescent="0.25">
      <c r="A85" s="20" t="s">
        <v>74</v>
      </c>
      <c r="B85" s="68">
        <f>'FY26'!F85</f>
        <v>0</v>
      </c>
      <c r="C85" s="68">
        <f>'FY27'!F85</f>
        <v>0</v>
      </c>
      <c r="D85" s="68">
        <f>'FY28'!F85</f>
        <v>0</v>
      </c>
      <c r="E85" s="68">
        <f>'FY29'!F85</f>
        <v>0</v>
      </c>
      <c r="F85" s="68">
        <f>'FY30'!F85</f>
        <v>0</v>
      </c>
      <c r="G85" s="68">
        <f>'FY31'!F85</f>
        <v>0</v>
      </c>
      <c r="I85" s="68">
        <f>'FY26'!L85</f>
        <v>0</v>
      </c>
      <c r="J85" s="68">
        <f>'FY27'!L85</f>
        <v>0</v>
      </c>
      <c r="K85" s="68">
        <f>'FY28'!L85</f>
        <v>0</v>
      </c>
      <c r="L85" s="68">
        <f>'FY29'!L85</f>
        <v>0</v>
      </c>
      <c r="M85" s="68">
        <f>'FY30'!L85</f>
        <v>0</v>
      </c>
      <c r="N85" s="68">
        <f>'FY31'!L85</f>
        <v>0</v>
      </c>
      <c r="P85" s="68">
        <f>'FY26'!R85</f>
        <v>0</v>
      </c>
      <c r="Q85" s="68">
        <f>'FY27'!R85</f>
        <v>0</v>
      </c>
      <c r="R85" s="68">
        <f>'FY28'!R85</f>
        <v>0</v>
      </c>
      <c r="S85" s="68">
        <f>'FY29'!R85</f>
        <v>0</v>
      </c>
      <c r="T85" s="68">
        <f>'FY30'!R85</f>
        <v>0</v>
      </c>
      <c r="U85" s="68">
        <f>'FY31'!R85</f>
        <v>0</v>
      </c>
      <c r="W85" s="68">
        <f>'FY26'!X85</f>
        <v>0</v>
      </c>
      <c r="X85" s="68">
        <f>'FY27'!X85</f>
        <v>0</v>
      </c>
      <c r="Y85" s="68">
        <f>'FY28'!X85</f>
        <v>0</v>
      </c>
      <c r="Z85" s="68">
        <f>'FY29'!X85</f>
        <v>0</v>
      </c>
      <c r="AA85" s="68">
        <f>'FY30'!X85</f>
        <v>0</v>
      </c>
      <c r="AB85" s="68">
        <f>'FY31'!X85</f>
        <v>0</v>
      </c>
      <c r="AC85" s="57"/>
      <c r="AD85" s="68">
        <f>'FY27'!AD85</f>
        <v>0</v>
      </c>
      <c r="AE85" s="68">
        <f>'FY28'!AD85</f>
        <v>0</v>
      </c>
      <c r="AF85" s="68">
        <f>'FY29'!AD85</f>
        <v>0</v>
      </c>
      <c r="AG85" s="68">
        <f>'FY30'!AD85</f>
        <v>0</v>
      </c>
      <c r="AH85" s="68">
        <f>'FY31'!AD85</f>
        <v>0</v>
      </c>
      <c r="AI85" s="57"/>
      <c r="AJ85" s="68">
        <f>'FY27'!AJ85</f>
        <v>0</v>
      </c>
      <c r="AK85" s="68">
        <f>'FY28'!AJ85</f>
        <v>0</v>
      </c>
      <c r="AL85" s="68">
        <f>'FY29'!AJ85</f>
        <v>0</v>
      </c>
      <c r="AM85" s="68">
        <f>'FY30'!AJ85</f>
        <v>0</v>
      </c>
      <c r="AN85" s="68">
        <f>'FY31'!AJ85</f>
        <v>0</v>
      </c>
      <c r="AP85" s="68">
        <f>'FY26'!AD85</f>
        <v>0</v>
      </c>
      <c r="AQ85" s="68">
        <f>'FY27'!AP85</f>
        <v>0</v>
      </c>
      <c r="AR85" s="68">
        <f>'FY28'!AP85</f>
        <v>0</v>
      </c>
      <c r="AS85" s="68">
        <f>'FY29'!AP85</f>
        <v>0</v>
      </c>
      <c r="AT85" s="68">
        <f>'FY30'!AP85</f>
        <v>0</v>
      </c>
      <c r="AU85" s="68">
        <f>'FY31'!AP85</f>
        <v>0</v>
      </c>
      <c r="AW85" s="68">
        <f>'FY26'!AJ85</f>
        <v>0</v>
      </c>
      <c r="AX85" s="68">
        <f>'FY27'!AV85</f>
        <v>0</v>
      </c>
      <c r="AY85" s="68">
        <f>'FY28'!AV85</f>
        <v>0</v>
      </c>
      <c r="AZ85" s="68">
        <f>'FY29'!AV85</f>
        <v>0</v>
      </c>
      <c r="BA85" s="68">
        <f>'FY30'!AV85</f>
        <v>0</v>
      </c>
      <c r="BB85" s="68">
        <f>'FY31'!AV85</f>
        <v>0</v>
      </c>
      <c r="BD85" s="166"/>
      <c r="BE85" s="166"/>
    </row>
    <row r="86" spans="1:57" x14ac:dyDescent="0.25">
      <c r="A86" s="21" t="s">
        <v>75</v>
      </c>
      <c r="B86" s="69">
        <f>'FY26'!F86</f>
        <v>0</v>
      </c>
      <c r="C86" s="69">
        <f>'FY27'!F86</f>
        <v>0</v>
      </c>
      <c r="D86" s="69">
        <f>'FY28'!F86</f>
        <v>0</v>
      </c>
      <c r="E86" s="69">
        <f>'FY29'!F86</f>
        <v>0</v>
      </c>
      <c r="F86" s="69">
        <f>'FY30'!F86</f>
        <v>0</v>
      </c>
      <c r="G86" s="69">
        <f>'FY31'!F86</f>
        <v>0</v>
      </c>
      <c r="I86" s="69">
        <f>'FY26'!L86</f>
        <v>0</v>
      </c>
      <c r="J86" s="69">
        <f>'FY27'!L86</f>
        <v>0</v>
      </c>
      <c r="K86" s="69">
        <f>'FY28'!L86</f>
        <v>0</v>
      </c>
      <c r="L86" s="69">
        <f>'FY29'!L86</f>
        <v>0</v>
      </c>
      <c r="M86" s="69">
        <f>'FY30'!L86</f>
        <v>0</v>
      </c>
      <c r="N86" s="69">
        <f>'FY31'!L86</f>
        <v>0</v>
      </c>
      <c r="P86" s="69">
        <f>'FY26'!R86</f>
        <v>0</v>
      </c>
      <c r="Q86" s="69">
        <f>'FY27'!R86</f>
        <v>0</v>
      </c>
      <c r="R86" s="69">
        <f>'FY28'!R86</f>
        <v>0</v>
      </c>
      <c r="S86" s="69">
        <f>'FY29'!R86</f>
        <v>0</v>
      </c>
      <c r="T86" s="69">
        <f>'FY30'!R86</f>
        <v>0</v>
      </c>
      <c r="U86" s="69">
        <f>'FY31'!R86</f>
        <v>0</v>
      </c>
      <c r="W86" s="69">
        <f>'FY26'!X86</f>
        <v>0</v>
      </c>
      <c r="X86" s="69">
        <f>'FY27'!X86</f>
        <v>0</v>
      </c>
      <c r="Y86" s="69">
        <f>'FY28'!X86</f>
        <v>0</v>
      </c>
      <c r="Z86" s="69">
        <f>'FY29'!X86</f>
        <v>0</v>
      </c>
      <c r="AA86" s="69">
        <f>'FY30'!X86</f>
        <v>0</v>
      </c>
      <c r="AB86" s="69">
        <f>'FY31'!X86</f>
        <v>0</v>
      </c>
      <c r="AC86" s="57"/>
      <c r="AD86" s="69">
        <f>'FY27'!AD86</f>
        <v>0</v>
      </c>
      <c r="AE86" s="69">
        <f>'FY28'!AD86</f>
        <v>0</v>
      </c>
      <c r="AF86" s="69">
        <f>'FY29'!AD86</f>
        <v>0</v>
      </c>
      <c r="AG86" s="69">
        <f>'FY30'!AD86</f>
        <v>0</v>
      </c>
      <c r="AH86" s="69">
        <f>'FY31'!AD86</f>
        <v>0</v>
      </c>
      <c r="AI86" s="57"/>
      <c r="AJ86" s="69">
        <f>'FY27'!AJ86</f>
        <v>0</v>
      </c>
      <c r="AK86" s="69">
        <f>'FY28'!AJ86</f>
        <v>0</v>
      </c>
      <c r="AL86" s="69">
        <f>'FY29'!AJ86</f>
        <v>0</v>
      </c>
      <c r="AM86" s="69">
        <f>'FY30'!AJ86</f>
        <v>0</v>
      </c>
      <c r="AN86" s="69">
        <f>'FY31'!AJ86</f>
        <v>0</v>
      </c>
      <c r="AP86" s="69">
        <f>'FY26'!AD86</f>
        <v>0</v>
      </c>
      <c r="AQ86" s="69">
        <f>'FY27'!AP86</f>
        <v>0</v>
      </c>
      <c r="AR86" s="69">
        <f>'FY28'!AP86</f>
        <v>0</v>
      </c>
      <c r="AS86" s="69">
        <f>'FY29'!AP86</f>
        <v>0</v>
      </c>
      <c r="AT86" s="69">
        <f>'FY30'!AP86</f>
        <v>0</v>
      </c>
      <c r="AU86" s="69">
        <f>'FY31'!AP86</f>
        <v>0</v>
      </c>
      <c r="AW86" s="69">
        <f>'FY26'!AJ86</f>
        <v>0</v>
      </c>
      <c r="AX86" s="69">
        <f>'FY27'!AV86</f>
        <v>0</v>
      </c>
      <c r="AY86" s="69">
        <f>'FY28'!AV86</f>
        <v>0</v>
      </c>
      <c r="AZ86" s="69">
        <f>'FY29'!AV86</f>
        <v>0</v>
      </c>
      <c r="BA86" s="69">
        <f>'FY30'!AV86</f>
        <v>0</v>
      </c>
      <c r="BB86" s="69">
        <f>'FY31'!AV86</f>
        <v>0</v>
      </c>
      <c r="BD86" s="166"/>
      <c r="BE86" s="166"/>
    </row>
    <row r="87" spans="1:57" x14ac:dyDescent="0.25">
      <c r="A87" s="22" t="s">
        <v>76</v>
      </c>
      <c r="B87" s="70">
        <f>'FY26'!F87</f>
        <v>0</v>
      </c>
      <c r="C87" s="70">
        <f>'FY27'!F87</f>
        <v>0</v>
      </c>
      <c r="D87" s="70">
        <f>'FY28'!F87</f>
        <v>0</v>
      </c>
      <c r="E87" s="70">
        <f>'FY29'!F87</f>
        <v>0</v>
      </c>
      <c r="F87" s="70">
        <f>'FY30'!F87</f>
        <v>0</v>
      </c>
      <c r="G87" s="70">
        <f>'FY31'!F87</f>
        <v>0</v>
      </c>
      <c r="I87" s="70">
        <f>'FY26'!L87</f>
        <v>0</v>
      </c>
      <c r="J87" s="70">
        <f>'FY27'!L87</f>
        <v>0</v>
      </c>
      <c r="K87" s="70">
        <f>'FY28'!L87</f>
        <v>0</v>
      </c>
      <c r="L87" s="70">
        <f>'FY29'!L87</f>
        <v>0</v>
      </c>
      <c r="M87" s="70">
        <f>'FY30'!L87</f>
        <v>0</v>
      </c>
      <c r="N87" s="70">
        <f>'FY31'!L87</f>
        <v>0</v>
      </c>
      <c r="P87" s="70">
        <f>'FY26'!R87</f>
        <v>0</v>
      </c>
      <c r="Q87" s="70">
        <f>'FY27'!R87</f>
        <v>0</v>
      </c>
      <c r="R87" s="70">
        <f>'FY28'!R87</f>
        <v>0</v>
      </c>
      <c r="S87" s="70">
        <f>'FY29'!R87</f>
        <v>0</v>
      </c>
      <c r="T87" s="70">
        <f>'FY30'!R87</f>
        <v>0</v>
      </c>
      <c r="U87" s="70">
        <f>'FY31'!R87</f>
        <v>0</v>
      </c>
      <c r="W87" s="70">
        <f>'FY26'!X87</f>
        <v>0</v>
      </c>
      <c r="X87" s="70">
        <f>'FY27'!X87</f>
        <v>0</v>
      </c>
      <c r="Y87" s="70">
        <f>'FY28'!X87</f>
        <v>0</v>
      </c>
      <c r="Z87" s="70">
        <f>'FY29'!X87</f>
        <v>0</v>
      </c>
      <c r="AA87" s="70">
        <f>'FY30'!X87</f>
        <v>0</v>
      </c>
      <c r="AB87" s="70">
        <f>'FY31'!X87</f>
        <v>0</v>
      </c>
      <c r="AC87" s="57"/>
      <c r="AD87" s="70">
        <f>'FY27'!AD87</f>
        <v>0</v>
      </c>
      <c r="AE87" s="70">
        <f>'FY28'!AD87</f>
        <v>0</v>
      </c>
      <c r="AF87" s="70">
        <f>'FY29'!AD87</f>
        <v>0</v>
      </c>
      <c r="AG87" s="70">
        <f>'FY30'!AD87</f>
        <v>0</v>
      </c>
      <c r="AH87" s="70">
        <f>'FY31'!AD87</f>
        <v>0</v>
      </c>
      <c r="AI87" s="57"/>
      <c r="AJ87" s="70">
        <f>'FY27'!AJ87</f>
        <v>0</v>
      </c>
      <c r="AK87" s="70">
        <f>'FY28'!AJ87</f>
        <v>0</v>
      </c>
      <c r="AL87" s="70">
        <f>'FY29'!AJ87</f>
        <v>0</v>
      </c>
      <c r="AM87" s="70">
        <f>'FY30'!AJ87</f>
        <v>0</v>
      </c>
      <c r="AN87" s="70">
        <f>'FY31'!AJ87</f>
        <v>0</v>
      </c>
      <c r="AP87" s="70">
        <f>'FY26'!AD87</f>
        <v>0</v>
      </c>
      <c r="AQ87" s="70">
        <f>'FY27'!AP87</f>
        <v>0</v>
      </c>
      <c r="AR87" s="70">
        <f>'FY28'!AP87</f>
        <v>0</v>
      </c>
      <c r="AS87" s="70">
        <f>'FY29'!AP87</f>
        <v>0</v>
      </c>
      <c r="AT87" s="70">
        <f>'FY30'!AP87</f>
        <v>0</v>
      </c>
      <c r="AU87" s="70">
        <f>'FY31'!AP87</f>
        <v>0</v>
      </c>
      <c r="AW87" s="70">
        <f>'FY26'!AJ87</f>
        <v>0</v>
      </c>
      <c r="AX87" s="70">
        <f>'FY27'!AV87</f>
        <v>0</v>
      </c>
      <c r="AY87" s="70">
        <f>'FY28'!AV87</f>
        <v>0</v>
      </c>
      <c r="AZ87" s="70">
        <f>'FY29'!AV87</f>
        <v>0</v>
      </c>
      <c r="BA87" s="70">
        <f>'FY30'!AV87</f>
        <v>0</v>
      </c>
      <c r="BB87" s="70">
        <f>'FY31'!AV87</f>
        <v>0</v>
      </c>
      <c r="BD87" s="166"/>
      <c r="BE87" s="166"/>
    </row>
    <row r="88" spans="1:57" x14ac:dyDescent="0.25">
      <c r="A88" s="24"/>
      <c r="B88" s="71">
        <f>'FY26'!F88</f>
        <v>0</v>
      </c>
      <c r="C88" s="71">
        <f>'FY27'!F88</f>
        <v>0</v>
      </c>
      <c r="D88" s="71">
        <f>'FY28'!F88</f>
        <v>0</v>
      </c>
      <c r="E88" s="71">
        <f>'FY29'!F88</f>
        <v>0</v>
      </c>
      <c r="F88" s="71">
        <f>'FY30'!F88</f>
        <v>0</v>
      </c>
      <c r="G88" s="71">
        <f>'FY31'!F88</f>
        <v>0</v>
      </c>
      <c r="I88" s="71">
        <f>'FY26'!L88</f>
        <v>0</v>
      </c>
      <c r="J88" s="71">
        <f>'FY27'!L88</f>
        <v>0</v>
      </c>
      <c r="K88" s="71">
        <f>'FY28'!L88</f>
        <v>0</v>
      </c>
      <c r="L88" s="71">
        <f>'FY29'!L88</f>
        <v>0</v>
      </c>
      <c r="M88" s="71">
        <f>'FY30'!L88</f>
        <v>0</v>
      </c>
      <c r="N88" s="71">
        <f>'FY31'!L88</f>
        <v>0</v>
      </c>
      <c r="P88" s="71">
        <f>'FY26'!R88</f>
        <v>0</v>
      </c>
      <c r="Q88" s="71">
        <f>'FY27'!R88</f>
        <v>0</v>
      </c>
      <c r="R88" s="71">
        <f>'FY28'!R88</f>
        <v>0</v>
      </c>
      <c r="S88" s="71">
        <f>'FY29'!R88</f>
        <v>0</v>
      </c>
      <c r="T88" s="71">
        <f>'FY30'!R88</f>
        <v>0</v>
      </c>
      <c r="U88" s="71">
        <f>'FY31'!R88</f>
        <v>0</v>
      </c>
      <c r="W88" s="71">
        <f>'FY26'!X88</f>
        <v>0</v>
      </c>
      <c r="X88" s="71">
        <f>'FY27'!X88</f>
        <v>0</v>
      </c>
      <c r="Y88" s="71">
        <f>'FY28'!X88</f>
        <v>0</v>
      </c>
      <c r="Z88" s="71">
        <f>'FY29'!X88</f>
        <v>0</v>
      </c>
      <c r="AA88" s="71">
        <f>'FY30'!X88</f>
        <v>0</v>
      </c>
      <c r="AB88" s="71">
        <f>'FY31'!X88</f>
        <v>0</v>
      </c>
      <c r="AC88" s="200"/>
      <c r="AD88" s="71">
        <f>'FY27'!AD88</f>
        <v>0</v>
      </c>
      <c r="AE88" s="71">
        <f>'FY28'!AD88</f>
        <v>0</v>
      </c>
      <c r="AF88" s="71">
        <f>'FY29'!AD88</f>
        <v>0</v>
      </c>
      <c r="AG88" s="71">
        <f>'FY30'!AD88</f>
        <v>0</v>
      </c>
      <c r="AH88" s="71">
        <f>'FY31'!AD88</f>
        <v>0</v>
      </c>
      <c r="AI88" s="200"/>
      <c r="AJ88" s="71">
        <f>'FY27'!AJ88</f>
        <v>0</v>
      </c>
      <c r="AK88" s="71">
        <f>'FY28'!AJ88</f>
        <v>0</v>
      </c>
      <c r="AL88" s="71">
        <f>'FY29'!AJ88</f>
        <v>0</v>
      </c>
      <c r="AM88" s="71">
        <f>'FY30'!AJ88</f>
        <v>0</v>
      </c>
      <c r="AN88" s="71">
        <f>'FY31'!AJ88</f>
        <v>0</v>
      </c>
      <c r="AP88" s="71">
        <f>'FY26'!AD88</f>
        <v>0</v>
      </c>
      <c r="AQ88" s="71">
        <f>'FY27'!AP88</f>
        <v>0</v>
      </c>
      <c r="AR88" s="71">
        <f>'FY28'!AP88</f>
        <v>0</v>
      </c>
      <c r="AS88" s="71">
        <f>'FY29'!AP88</f>
        <v>0</v>
      </c>
      <c r="AT88" s="71">
        <f>'FY30'!AP88</f>
        <v>0</v>
      </c>
      <c r="AU88" s="71">
        <f>'FY31'!AP88</f>
        <v>0</v>
      </c>
      <c r="AW88" s="71">
        <f>'FY26'!AJ88</f>
        <v>0</v>
      </c>
      <c r="AX88" s="71">
        <f>'FY27'!AV88</f>
        <v>0</v>
      </c>
      <c r="AY88" s="71">
        <f>'FY28'!AV88</f>
        <v>0</v>
      </c>
      <c r="AZ88" s="71">
        <f>'FY29'!AV88</f>
        <v>0</v>
      </c>
      <c r="BA88" s="71">
        <f>'FY30'!AV88</f>
        <v>0</v>
      </c>
      <c r="BB88" s="71">
        <f>'FY31'!AV88</f>
        <v>0</v>
      </c>
      <c r="BD88" s="166"/>
      <c r="BE88" s="166"/>
    </row>
    <row r="89" spans="1:57" x14ac:dyDescent="0.25">
      <c r="B89" s="57"/>
      <c r="C89" s="57"/>
      <c r="D89" s="57"/>
      <c r="E89" s="57"/>
      <c r="F89" s="57"/>
      <c r="G89" s="57"/>
      <c r="I89" s="57"/>
      <c r="J89" s="57"/>
      <c r="K89" s="57"/>
      <c r="L89" s="57"/>
      <c r="M89" s="57"/>
      <c r="N89" s="57"/>
      <c r="P89" s="57"/>
      <c r="Q89" s="57"/>
      <c r="R89" s="57"/>
      <c r="S89" s="57"/>
      <c r="T89" s="57"/>
      <c r="U89" s="57"/>
      <c r="W89" s="57"/>
      <c r="X89" s="57"/>
      <c r="Y89" s="57"/>
      <c r="Z89" s="57"/>
      <c r="AA89" s="57"/>
      <c r="AB89" s="57"/>
      <c r="AC89" s="57"/>
      <c r="AD89" s="57">
        <f>'FY27'!AD89</f>
        <v>0</v>
      </c>
      <c r="AE89" s="57">
        <f>'FY28'!AD89</f>
        <v>0</v>
      </c>
      <c r="AF89" s="57">
        <f>'FY29'!AD89</f>
        <v>0</v>
      </c>
      <c r="AG89" s="57">
        <f>'FY30'!AD89</f>
        <v>0</v>
      </c>
      <c r="AH89" s="57">
        <f>'FY31'!AD89</f>
        <v>0</v>
      </c>
      <c r="AI89" s="57"/>
      <c r="AJ89" s="57"/>
      <c r="AK89" s="57"/>
      <c r="AL89" s="57"/>
      <c r="AM89" s="57"/>
      <c r="AN89" s="57"/>
      <c r="AP89" s="57"/>
      <c r="AQ89" s="57"/>
      <c r="AR89" s="57"/>
      <c r="AS89" s="57"/>
      <c r="AT89" s="57"/>
      <c r="AU89" s="57"/>
      <c r="AW89" s="57"/>
      <c r="AX89" s="57"/>
      <c r="AY89" s="57"/>
      <c r="AZ89" s="57"/>
      <c r="BA89" s="57"/>
      <c r="BB89" s="57"/>
      <c r="BD89" s="166"/>
      <c r="BE89" s="166"/>
    </row>
    <row r="90" spans="1:57" ht="16.5" thickBot="1" x14ac:dyDescent="0.3">
      <c r="B90" s="57"/>
      <c r="C90" s="57"/>
      <c r="D90" s="57"/>
      <c r="E90" s="57"/>
      <c r="F90" s="57"/>
      <c r="G90" s="57"/>
      <c r="I90" s="57"/>
      <c r="J90" s="57"/>
      <c r="K90" s="57"/>
      <c r="L90" s="57"/>
      <c r="M90" s="57"/>
      <c r="N90" s="57"/>
      <c r="P90" s="57"/>
      <c r="Q90" s="57"/>
      <c r="R90" s="57"/>
      <c r="S90" s="57"/>
      <c r="T90" s="57"/>
      <c r="U90" s="57"/>
      <c r="W90" s="57"/>
      <c r="X90" s="57"/>
      <c r="Y90" s="57"/>
      <c r="Z90" s="57"/>
      <c r="AA90" s="57"/>
      <c r="AB90" s="57"/>
      <c r="AC90" s="57"/>
      <c r="AD90" s="57">
        <f>'FY27'!AD90</f>
        <v>0</v>
      </c>
      <c r="AE90" s="57">
        <f>'FY28'!AD90</f>
        <v>0</v>
      </c>
      <c r="AF90" s="57">
        <f>'FY29'!AD90</f>
        <v>0</v>
      </c>
      <c r="AG90" s="57">
        <f>'FY30'!AD90</f>
        <v>0</v>
      </c>
      <c r="AH90" s="57">
        <f>'FY31'!AD90</f>
        <v>0</v>
      </c>
      <c r="AI90" s="57"/>
      <c r="AJ90" s="57"/>
      <c r="AK90" s="57"/>
      <c r="AL90" s="57"/>
      <c r="AM90" s="57"/>
      <c r="AN90" s="57"/>
      <c r="AP90" s="57"/>
      <c r="AQ90" s="57"/>
      <c r="AR90" s="57"/>
      <c r="AS90" s="57"/>
      <c r="AT90" s="57"/>
      <c r="AU90" s="57"/>
      <c r="AW90" s="57"/>
      <c r="AX90" s="57"/>
      <c r="AY90" s="57"/>
      <c r="AZ90" s="57"/>
      <c r="BA90" s="57"/>
      <c r="BB90" s="57"/>
      <c r="BD90" s="166"/>
      <c r="BE90" s="166"/>
    </row>
    <row r="91" spans="1:57" x14ac:dyDescent="0.25">
      <c r="A91" s="25"/>
      <c r="B91" s="73" t="str">
        <f>'FY26'!F91</f>
        <v>FY26- Mtn</v>
      </c>
      <c r="C91" s="73" t="str">
        <f>'FY27'!F91</f>
        <v>FY27- Mtn</v>
      </c>
      <c r="D91" s="73" t="str">
        <f>'FY28'!F91</f>
        <v>FY28- Mtn</v>
      </c>
      <c r="E91" s="73" t="str">
        <f>'FY29'!F91</f>
        <v>FY29- Mtn</v>
      </c>
      <c r="F91" s="73" t="str">
        <f>'FY30'!F91</f>
        <v>FY30- Mtn</v>
      </c>
      <c r="G91" s="73" t="str">
        <f>'FY31'!F91</f>
        <v>FY31- Mtn</v>
      </c>
      <c r="I91" s="73" t="str">
        <f>'FY26'!L91</f>
        <v>FY26- Bon</v>
      </c>
      <c r="J91" s="73" t="str">
        <f>'FY27'!L91</f>
        <v>FY27- Bon</v>
      </c>
      <c r="K91" s="73" t="str">
        <f>'FY28'!L91</f>
        <v>FY28- Bon</v>
      </c>
      <c r="L91" s="73" t="str">
        <f>'FY29'!L91</f>
        <v>FY29- Bon</v>
      </c>
      <c r="M91" s="73" t="str">
        <f>'FY30'!L91</f>
        <v>FY30- Bon</v>
      </c>
      <c r="N91" s="73" t="str">
        <f>'FY31'!L91</f>
        <v>FY31- Bon</v>
      </c>
      <c r="P91" s="73" t="str">
        <f>'FY26'!R91</f>
        <v>FY26- East</v>
      </c>
      <c r="Q91" s="73" t="str">
        <f>'FY27'!R91</f>
        <v>FY27- East</v>
      </c>
      <c r="R91" s="73" t="str">
        <f>'FY28'!R91</f>
        <v>FY28- East</v>
      </c>
      <c r="S91" s="73" t="str">
        <f>'FY29'!R91</f>
        <v>FY29- East</v>
      </c>
      <c r="T91" s="73" t="str">
        <f>'FY30'!R91</f>
        <v>FY30- East</v>
      </c>
      <c r="U91" s="73" t="str">
        <f>'FY31'!R91</f>
        <v>FY31- East</v>
      </c>
      <c r="W91" s="73" t="str">
        <f>'FY26'!X91</f>
        <v>FY26- Cactus</v>
      </c>
      <c r="X91" s="73" t="str">
        <f>'FY27'!X91</f>
        <v>FY27- Cactus</v>
      </c>
      <c r="Y91" s="73" t="str">
        <f>'FY28'!X91</f>
        <v>FY28- Cactus</v>
      </c>
      <c r="Z91" s="73" t="str">
        <f>'FY29'!X91</f>
        <v>FY29- Cactus</v>
      </c>
      <c r="AA91" s="73" t="str">
        <f>'FY30'!X91</f>
        <v>FY30- Cactus</v>
      </c>
      <c r="AB91" s="73" t="str">
        <f>'FY31'!X91</f>
        <v>FY31- Cactus</v>
      </c>
      <c r="AC91" s="198"/>
      <c r="AD91" s="73" t="str">
        <f>'FY27'!AD91</f>
        <v>FY27- Sahara</v>
      </c>
      <c r="AE91" s="73" t="str">
        <f>'FY28'!AD91</f>
        <v>FY28- Sahara</v>
      </c>
      <c r="AF91" s="73" t="str">
        <f>'FY29'!AD91</f>
        <v>FY29- Sahara</v>
      </c>
      <c r="AG91" s="73" t="str">
        <f>'FY30'!AD91</f>
        <v>FY30- Sahara</v>
      </c>
      <c r="AH91" s="73" t="str">
        <f>'FY31'!AD91</f>
        <v>FY31- Sahara</v>
      </c>
      <c r="AI91" s="198"/>
      <c r="AJ91" s="73" t="str">
        <f>'FY27'!AJ91</f>
        <v>FY27- VV</v>
      </c>
      <c r="AK91" s="73" t="str">
        <f>'FY28'!AJ91</f>
        <v>FY27- VV</v>
      </c>
      <c r="AL91" s="73" t="str">
        <f>'FY29'!AJ91</f>
        <v>FY29- VV</v>
      </c>
      <c r="AM91" s="73" t="str">
        <f>'FY30'!AJ91</f>
        <v>FY30- VV</v>
      </c>
      <c r="AN91" s="73" t="str">
        <f>'FY31'!AJ91</f>
        <v>FY31- VV</v>
      </c>
      <c r="AP91" s="73" t="str">
        <f>'FY26'!AD91</f>
        <v>FY26 - Central</v>
      </c>
      <c r="AQ91" s="73" t="str">
        <f>'FY27'!AP91</f>
        <v>FY27 - Central</v>
      </c>
      <c r="AR91" s="73" t="str">
        <f>'FY28'!AP91</f>
        <v>FY28 - Central</v>
      </c>
      <c r="AS91" s="73" t="str">
        <f>'FY29'!AP91</f>
        <v>FY29 - Central</v>
      </c>
      <c r="AT91" s="73" t="str">
        <f>'FY30'!AP91</f>
        <v>FY30 - Central</v>
      </c>
      <c r="AU91" s="73" t="str">
        <f>'FY31'!AP91</f>
        <v>FY31 - Central</v>
      </c>
      <c r="AW91" s="73" t="str">
        <f>'FY26'!AJ91</f>
        <v>FY26- Sys</v>
      </c>
      <c r="AX91" s="73" t="str">
        <f>'FY27'!AV91</f>
        <v>FY27- Sys</v>
      </c>
      <c r="AY91" s="73" t="str">
        <f>'FY28'!AV91</f>
        <v>FY28- Sys</v>
      </c>
      <c r="AZ91" s="73" t="str">
        <f>'FY29'!AV91</f>
        <v>FY29- Sys</v>
      </c>
      <c r="BA91" s="73" t="str">
        <f>'FY30'!AV91</f>
        <v>FY29- Sys</v>
      </c>
      <c r="BB91" s="73" t="str">
        <f>'FY31'!AV91</f>
        <v>FY31- Sys</v>
      </c>
      <c r="BD91" s="166"/>
      <c r="BE91" s="166"/>
    </row>
    <row r="92" spans="1:57" x14ac:dyDescent="0.25">
      <c r="A92" s="26"/>
      <c r="B92" s="74"/>
      <c r="C92" s="74"/>
      <c r="D92" s="74"/>
      <c r="E92" s="74"/>
      <c r="F92" s="74"/>
      <c r="G92" s="74"/>
      <c r="I92" s="74"/>
      <c r="J92" s="74"/>
      <c r="K92" s="74"/>
      <c r="L92" s="74"/>
      <c r="M92" s="74"/>
      <c r="N92" s="74"/>
      <c r="P92" s="74"/>
      <c r="Q92" s="74"/>
      <c r="R92" s="74"/>
      <c r="S92" s="74"/>
      <c r="T92" s="74"/>
      <c r="U92" s="74"/>
      <c r="W92" s="74"/>
      <c r="X92" s="74"/>
      <c r="Y92" s="74"/>
      <c r="Z92" s="74"/>
      <c r="AA92" s="74"/>
      <c r="AB92" s="74"/>
      <c r="AC92" s="57"/>
      <c r="AD92" s="74">
        <f>'FY27'!AD92</f>
        <v>0</v>
      </c>
      <c r="AE92" s="74">
        <f>'FY28'!AD92</f>
        <v>0</v>
      </c>
      <c r="AF92" s="74">
        <f>'FY29'!AD92</f>
        <v>0</v>
      </c>
      <c r="AG92" s="74">
        <f>'FY30'!AD92</f>
        <v>0</v>
      </c>
      <c r="AH92" s="74">
        <f>'FY31'!AD92</f>
        <v>0</v>
      </c>
      <c r="AI92" s="57"/>
      <c r="AJ92" s="74"/>
      <c r="AK92" s="74"/>
      <c r="AL92" s="74"/>
      <c r="AM92" s="74"/>
      <c r="AN92" s="74"/>
      <c r="AP92" s="74"/>
      <c r="AQ92" s="74"/>
      <c r="AR92" s="74"/>
      <c r="AS92" s="74"/>
      <c r="AT92" s="74"/>
      <c r="AU92" s="74"/>
      <c r="AW92" s="74"/>
      <c r="AX92" s="74"/>
      <c r="AY92" s="74"/>
      <c r="AZ92" s="74"/>
      <c r="BA92" s="74"/>
      <c r="BB92" s="74"/>
      <c r="BD92" s="166"/>
      <c r="BE92" s="166"/>
    </row>
    <row r="93" spans="1:57" x14ac:dyDescent="0.25">
      <c r="A93" s="20" t="s">
        <v>34</v>
      </c>
      <c r="B93" s="75">
        <f>'FY26'!F93</f>
        <v>170100</v>
      </c>
      <c r="C93" s="75">
        <f>'FY27'!F93</f>
        <v>171801</v>
      </c>
      <c r="D93" s="75">
        <f>'FY28'!F93</f>
        <v>173519.01</v>
      </c>
      <c r="E93" s="75">
        <f>'FY29'!F93</f>
        <v>175254.20010000002</v>
      </c>
      <c r="F93" s="75">
        <f>'FY30'!F93</f>
        <v>177006.74210100001</v>
      </c>
      <c r="G93" s="75">
        <f>'FY31'!F93</f>
        <v>178776.80952201001</v>
      </c>
      <c r="I93" s="75">
        <f>'FY26'!L93</f>
        <v>170100</v>
      </c>
      <c r="J93" s="75">
        <f>'FY27'!L93</f>
        <v>171801</v>
      </c>
      <c r="K93" s="75">
        <f>'FY28'!L93</f>
        <v>173519.01</v>
      </c>
      <c r="L93" s="75">
        <f>'FY29'!L93</f>
        <v>175254.20010000002</v>
      </c>
      <c r="M93" s="75">
        <f>'FY30'!L93</f>
        <v>177006.74210100001</v>
      </c>
      <c r="N93" s="75">
        <f>'FY31'!L93</f>
        <v>178776.80952201001</v>
      </c>
      <c r="P93" s="75">
        <f>'FY26'!R93</f>
        <v>225750</v>
      </c>
      <c r="Q93" s="75">
        <f>'FY27'!R93</f>
        <v>228007.5</v>
      </c>
      <c r="R93" s="75">
        <f>'FY28'!R93</f>
        <v>230287.57500000001</v>
      </c>
      <c r="S93" s="75">
        <f>'FY29'!R93</f>
        <v>232590.45075000002</v>
      </c>
      <c r="T93" s="75">
        <f>'FY30'!R93</f>
        <v>234916.35525750002</v>
      </c>
      <c r="U93" s="75">
        <f>'FY31'!R93</f>
        <v>237265.51881007501</v>
      </c>
      <c r="W93" s="75">
        <f>'FY26'!X93</f>
        <v>0</v>
      </c>
      <c r="X93" s="75">
        <f>'FY27'!X93</f>
        <v>126250</v>
      </c>
      <c r="Y93" s="75">
        <f>'FY28'!X93</f>
        <v>127512.5</v>
      </c>
      <c r="Z93" s="75">
        <f>'FY29'!X93</f>
        <v>128787.625</v>
      </c>
      <c r="AA93" s="75">
        <f>'FY30'!X93</f>
        <v>130075.50125</v>
      </c>
      <c r="AB93" s="75">
        <f>'FY31'!X93</f>
        <v>131376.25626250001</v>
      </c>
      <c r="AC93" s="194"/>
      <c r="AD93" s="75">
        <f>'FY27'!AD93</f>
        <v>135000</v>
      </c>
      <c r="AE93" s="75">
        <f>'FY28'!AD93</f>
        <v>136350</v>
      </c>
      <c r="AF93" s="75">
        <f>'FY29'!AD93</f>
        <v>137713.5</v>
      </c>
      <c r="AG93" s="75">
        <f>'FY30'!AD93</f>
        <v>139090.63500000001</v>
      </c>
      <c r="AH93" s="75">
        <f>'FY31'!AD93</f>
        <v>145000</v>
      </c>
      <c r="AI93" s="194"/>
      <c r="AJ93" s="75">
        <f>'FY27'!AJ93</f>
        <v>0</v>
      </c>
      <c r="AK93" s="75">
        <f>'FY28'!AJ93</f>
        <v>140000</v>
      </c>
      <c r="AL93" s="75">
        <f>'FY29'!AJ93</f>
        <v>141400</v>
      </c>
      <c r="AM93" s="75">
        <f>'FY30'!AJ93</f>
        <v>142814</v>
      </c>
      <c r="AN93" s="75">
        <f>'FY31'!AJ93</f>
        <v>144242.14000000001</v>
      </c>
      <c r="AP93" s="75">
        <f>'FY26'!AD93</f>
        <v>0</v>
      </c>
      <c r="AQ93" s="75">
        <f>'FY27'!AP93</f>
        <v>0</v>
      </c>
      <c r="AR93" s="75">
        <f>'FY28'!AP93</f>
        <v>0</v>
      </c>
      <c r="AS93" s="75">
        <f>'FY29'!AP93</f>
        <v>0</v>
      </c>
      <c r="AT93" s="75">
        <f>'FY30'!AP93</f>
        <v>0</v>
      </c>
      <c r="AU93" s="75">
        <f>'FY31'!AP93</f>
        <v>0</v>
      </c>
      <c r="AW93" s="75">
        <f>'FY26'!AJ93</f>
        <v>565950</v>
      </c>
      <c r="AX93" s="75">
        <f>'FY27'!AV93</f>
        <v>832859.5</v>
      </c>
      <c r="AY93" s="75">
        <f>'FY28'!AV93</f>
        <v>981188.09499999997</v>
      </c>
      <c r="AZ93" s="75">
        <f>'FY29'!AV93</f>
        <v>990999.97595000011</v>
      </c>
      <c r="BA93" s="75">
        <f>'FY30'!AV93</f>
        <v>1000909.9757095</v>
      </c>
      <c r="BB93" s="75">
        <f>'FY31'!AV93</f>
        <v>1015437.5341165952</v>
      </c>
      <c r="BD93" s="166"/>
      <c r="BE93" s="166"/>
    </row>
    <row r="94" spans="1:57" x14ac:dyDescent="0.25">
      <c r="A94" s="21" t="s">
        <v>77</v>
      </c>
      <c r="B94" s="75">
        <f>'FY26'!F94</f>
        <v>198326.5</v>
      </c>
      <c r="C94" s="75">
        <f>'FY27'!F94</f>
        <v>200309.76500000001</v>
      </c>
      <c r="D94" s="75">
        <f>'FY28'!F94</f>
        <v>202312.86265000002</v>
      </c>
      <c r="E94" s="75">
        <f>'FY29'!F94</f>
        <v>204335.99127650002</v>
      </c>
      <c r="F94" s="75">
        <f>'FY30'!F94</f>
        <v>206379.35118926503</v>
      </c>
      <c r="G94" s="75">
        <f>'FY31'!F94</f>
        <v>208443.14470115767</v>
      </c>
      <c r="I94" s="75">
        <f>'FY26'!L94</f>
        <v>379040</v>
      </c>
      <c r="J94" s="75">
        <f>'FY27'!L94</f>
        <v>382830.4</v>
      </c>
      <c r="K94" s="75">
        <f>'FY28'!L94</f>
        <v>386658.70400000003</v>
      </c>
      <c r="L94" s="75">
        <f>'FY29'!L94</f>
        <v>390525.29104000004</v>
      </c>
      <c r="M94" s="75">
        <f>'FY30'!L94</f>
        <v>394430.54395040002</v>
      </c>
      <c r="N94" s="75">
        <f>'FY31'!L94</f>
        <v>398374.849389904</v>
      </c>
      <c r="P94" s="75">
        <f>'FY26'!R94</f>
        <v>523240</v>
      </c>
      <c r="Q94" s="75">
        <f>'FY27'!R94</f>
        <v>528472.4</v>
      </c>
      <c r="R94" s="75">
        <f>'FY28'!R94</f>
        <v>533757.12400000007</v>
      </c>
      <c r="S94" s="75">
        <f>'FY29'!R94</f>
        <v>539094.69524000003</v>
      </c>
      <c r="T94" s="75">
        <f>'FY30'!R94</f>
        <v>544485.64219240006</v>
      </c>
      <c r="U94" s="75">
        <f>'FY31'!R94</f>
        <v>549930.49861432402</v>
      </c>
      <c r="W94" s="75">
        <f>'FY26'!X94</f>
        <v>130000</v>
      </c>
      <c r="X94" s="75">
        <f>'FY27'!X94</f>
        <v>0</v>
      </c>
      <c r="Y94" s="75">
        <f>'FY28'!X94</f>
        <v>0</v>
      </c>
      <c r="Z94" s="75">
        <f>'FY29'!X94</f>
        <v>0</v>
      </c>
      <c r="AA94" s="75">
        <f>'FY30'!X94</f>
        <v>0</v>
      </c>
      <c r="AB94" s="75">
        <f>'FY31'!X94</f>
        <v>0</v>
      </c>
      <c r="AC94" s="194"/>
      <c r="AD94" s="75">
        <f>'FY27'!AD94</f>
        <v>0</v>
      </c>
      <c r="AE94" s="75">
        <f>'FY28'!AD94</f>
        <v>100000</v>
      </c>
      <c r="AF94" s="75">
        <f>'FY29'!AD94</f>
        <v>191900</v>
      </c>
      <c r="AG94" s="75">
        <f>'FY30'!AD94</f>
        <v>193819</v>
      </c>
      <c r="AH94" s="75">
        <f>'FY31'!AD94</f>
        <v>293635.78499999997</v>
      </c>
      <c r="AI94" s="194"/>
      <c r="AJ94" s="75">
        <f>'FY27'!AJ94</f>
        <v>0</v>
      </c>
      <c r="AK94" s="75">
        <f>'FY28'!AJ94</f>
        <v>90000</v>
      </c>
      <c r="AL94" s="75">
        <f>'FY29'!AJ94</f>
        <v>181800</v>
      </c>
      <c r="AM94" s="75">
        <f>'FY30'!AJ94</f>
        <v>275427</v>
      </c>
      <c r="AN94" s="75">
        <f>'FY31'!AJ94</f>
        <v>278181.27</v>
      </c>
      <c r="AP94" s="75">
        <f>'FY26'!AD94</f>
        <v>120000</v>
      </c>
      <c r="AQ94" s="75">
        <f>'FY27'!AP94</f>
        <v>119634.5</v>
      </c>
      <c r="AR94" s="75">
        <f>'FY28'!AP94</f>
        <v>120830.845</v>
      </c>
      <c r="AS94" s="75">
        <f>'FY29'!AP94</f>
        <v>122039.15345</v>
      </c>
      <c r="AT94" s="75">
        <f>'FY30'!AP94</f>
        <v>123259.5449845</v>
      </c>
      <c r="AU94" s="75">
        <f>'FY31'!AP94</f>
        <v>124492.140434345</v>
      </c>
      <c r="AW94" s="75">
        <f>'FY26'!AJ94</f>
        <v>1350606.5</v>
      </c>
      <c r="AX94" s="75">
        <f>'FY27'!AV94</f>
        <v>1231247.0649999999</v>
      </c>
      <c r="AY94" s="75">
        <f>'FY28'!AV94</f>
        <v>1433559.5356500002</v>
      </c>
      <c r="AZ94" s="75">
        <f>'FY29'!AV94</f>
        <v>1629695.1310065002</v>
      </c>
      <c r="BA94" s="75">
        <f>'FY30'!AV94</f>
        <v>1737801.0823165651</v>
      </c>
      <c r="BB94" s="75">
        <f>'FY31'!AV94</f>
        <v>1853057.6881397306</v>
      </c>
      <c r="BD94" s="166"/>
      <c r="BE94" s="166"/>
    </row>
    <row r="95" spans="1:57" x14ac:dyDescent="0.25">
      <c r="A95" s="21" t="s">
        <v>39</v>
      </c>
      <c r="B95" s="75">
        <f>'FY26'!F95</f>
        <v>158000</v>
      </c>
      <c r="C95" s="75">
        <f>'FY27'!F95</f>
        <v>159580</v>
      </c>
      <c r="D95" s="75">
        <f>'FY28'!F95</f>
        <v>161175.79999999999</v>
      </c>
      <c r="E95" s="75">
        <f>'FY29'!F95</f>
        <v>162787.55799999999</v>
      </c>
      <c r="F95" s="75">
        <f>'FY30'!F95</f>
        <v>164415.43357999998</v>
      </c>
      <c r="G95" s="75">
        <f>'FY31'!F95</f>
        <v>166059.58791579999</v>
      </c>
      <c r="I95" s="75">
        <f>'FY26'!L95</f>
        <v>136000</v>
      </c>
      <c r="J95" s="75">
        <f>'FY27'!L95</f>
        <v>137360</v>
      </c>
      <c r="K95" s="75">
        <f>'FY28'!L95</f>
        <v>138733.6</v>
      </c>
      <c r="L95" s="75">
        <f>'FY29'!L95</f>
        <v>140120.93600000002</v>
      </c>
      <c r="M95" s="75">
        <f>'FY30'!L95</f>
        <v>141522.14536000002</v>
      </c>
      <c r="N95" s="75">
        <f>'FY31'!L95</f>
        <v>142937.36681360003</v>
      </c>
      <c r="P95" s="75">
        <f>'FY26'!R95</f>
        <v>401750</v>
      </c>
      <c r="Q95" s="75">
        <f>'FY27'!R95</f>
        <v>405767.5</v>
      </c>
      <c r="R95" s="75">
        <f>'FY28'!R95</f>
        <v>409825.17499999999</v>
      </c>
      <c r="S95" s="75">
        <f>'FY29'!R95</f>
        <v>413923.42674999998</v>
      </c>
      <c r="T95" s="75">
        <f>'FY30'!R95</f>
        <v>418062.66101749998</v>
      </c>
      <c r="U95" s="75">
        <f>'FY31'!R95</f>
        <v>422243.28762767499</v>
      </c>
      <c r="W95" s="75">
        <f>'FY26'!X95</f>
        <v>0</v>
      </c>
      <c r="X95" s="75">
        <f>'FY27'!X95</f>
        <v>0</v>
      </c>
      <c r="Y95" s="75">
        <f>'FY28'!X95</f>
        <v>0</v>
      </c>
      <c r="Z95" s="75">
        <f>'FY29'!X95</f>
        <v>0</v>
      </c>
      <c r="AA95" s="75">
        <f>'FY30'!X95</f>
        <v>0</v>
      </c>
      <c r="AB95" s="75">
        <f>'FY31'!X95</f>
        <v>0</v>
      </c>
      <c r="AC95" s="194"/>
      <c r="AD95" s="75">
        <f>'FY27'!AD95</f>
        <v>0</v>
      </c>
      <c r="AE95" s="75">
        <f>'FY28'!AD95</f>
        <v>0</v>
      </c>
      <c r="AF95" s="75">
        <f>'FY29'!AD95</f>
        <v>85000</v>
      </c>
      <c r="AG95" s="75">
        <f>'FY30'!AD95</f>
        <v>171700</v>
      </c>
      <c r="AH95" s="75">
        <f>'FY31'!AD95</f>
        <v>260125.5</v>
      </c>
      <c r="AI95" s="194"/>
      <c r="AJ95" s="75">
        <f>'FY27'!AJ95</f>
        <v>0</v>
      </c>
      <c r="AK95" s="75">
        <f>'FY28'!AJ95</f>
        <v>0</v>
      </c>
      <c r="AL95" s="75">
        <f>'FY29'!AJ95</f>
        <v>85000</v>
      </c>
      <c r="AM95" s="75">
        <f>'FY30'!AJ95</f>
        <v>85850</v>
      </c>
      <c r="AN95" s="75">
        <f>'FY31'!AJ95</f>
        <v>173417</v>
      </c>
      <c r="AP95" s="75">
        <f>'FY26'!AD95</f>
        <v>200000</v>
      </c>
      <c r="AQ95" s="75">
        <f>'FY27'!AP95</f>
        <v>200000</v>
      </c>
      <c r="AR95" s="75">
        <f>'FY28'!AP95</f>
        <v>200000</v>
      </c>
      <c r="AS95" s="75">
        <f>'FY29'!AP95</f>
        <v>200000</v>
      </c>
      <c r="AT95" s="75">
        <f>'FY30'!AP95</f>
        <v>200000</v>
      </c>
      <c r="AU95" s="75">
        <f>'FY31'!AP95</f>
        <v>200000</v>
      </c>
      <c r="AW95" s="75">
        <f>'FY26'!AJ95</f>
        <v>895750</v>
      </c>
      <c r="AX95" s="75">
        <f>'FY27'!AV95</f>
        <v>902707.5</v>
      </c>
      <c r="AY95" s="75">
        <f>'FY28'!AV95</f>
        <v>909734.57499999995</v>
      </c>
      <c r="AZ95" s="75">
        <f>'FY29'!AV95</f>
        <v>1086831.92075</v>
      </c>
      <c r="BA95" s="75">
        <f>'FY30'!AV95</f>
        <v>1181550.2399575</v>
      </c>
      <c r="BB95" s="75">
        <f>'FY31'!AV95</f>
        <v>1364782.742357075</v>
      </c>
      <c r="BD95" s="166"/>
      <c r="BE95" s="166"/>
    </row>
    <row r="96" spans="1:57" x14ac:dyDescent="0.25">
      <c r="A96" s="21" t="s">
        <v>78</v>
      </c>
      <c r="B96" s="75">
        <f>'FY26'!F96</f>
        <v>118000</v>
      </c>
      <c r="C96" s="75">
        <f>'FY27'!F96</f>
        <v>119180</v>
      </c>
      <c r="D96" s="75">
        <f>'FY28'!F96</f>
        <v>120371.8</v>
      </c>
      <c r="E96" s="75">
        <f>'FY29'!F96</f>
        <v>121575.51800000001</v>
      </c>
      <c r="F96" s="75">
        <f>'FY30'!F96</f>
        <v>122791.27318000002</v>
      </c>
      <c r="G96" s="75">
        <f>'FY31'!F96</f>
        <v>124019.18591180001</v>
      </c>
      <c r="I96" s="75">
        <f>'FY26'!L96</f>
        <v>135000</v>
      </c>
      <c r="J96" s="75">
        <f>'FY27'!L96</f>
        <v>136350</v>
      </c>
      <c r="K96" s="75">
        <f>'FY28'!L96</f>
        <v>137713.5</v>
      </c>
      <c r="L96" s="75">
        <f>'FY29'!L96</f>
        <v>139090.63500000001</v>
      </c>
      <c r="M96" s="75">
        <f>'FY30'!L96</f>
        <v>140481.54135000001</v>
      </c>
      <c r="N96" s="75">
        <f>'FY31'!L96</f>
        <v>141886.35676350002</v>
      </c>
      <c r="P96" s="75">
        <f>'FY26'!R96</f>
        <v>0</v>
      </c>
      <c r="Q96" s="75">
        <f>'FY27'!R96</f>
        <v>0</v>
      </c>
      <c r="R96" s="75">
        <f>'FY28'!R96</f>
        <v>0</v>
      </c>
      <c r="S96" s="75">
        <f>'FY29'!R96</f>
        <v>0</v>
      </c>
      <c r="T96" s="75">
        <f>'FY30'!R96</f>
        <v>0</v>
      </c>
      <c r="U96" s="75">
        <f>'FY31'!R96</f>
        <v>0</v>
      </c>
      <c r="W96" s="75">
        <f>'FY26'!X96</f>
        <v>0</v>
      </c>
      <c r="X96" s="75">
        <f>'FY27'!X96</f>
        <v>0</v>
      </c>
      <c r="Y96" s="75">
        <f>'FY28'!X96</f>
        <v>0</v>
      </c>
      <c r="Z96" s="75">
        <f>'FY29'!X96</f>
        <v>0</v>
      </c>
      <c r="AA96" s="75">
        <f>'FY30'!X96</f>
        <v>0</v>
      </c>
      <c r="AB96" s="75">
        <f>'FY31'!X96</f>
        <v>0</v>
      </c>
      <c r="AC96" s="194"/>
      <c r="AD96" s="75">
        <f>'FY27'!AD96</f>
        <v>0</v>
      </c>
      <c r="AE96" s="75">
        <f>'FY28'!AD96</f>
        <v>0</v>
      </c>
      <c r="AF96" s="75">
        <f>'FY29'!AD96</f>
        <v>0</v>
      </c>
      <c r="AG96" s="75">
        <f>'FY30'!AD96</f>
        <v>0</v>
      </c>
      <c r="AH96" s="75">
        <f>'FY31'!AD96</f>
        <v>0</v>
      </c>
      <c r="AI96" s="194"/>
      <c r="AJ96" s="75">
        <f>'FY27'!AJ96</f>
        <v>0</v>
      </c>
      <c r="AK96" s="75">
        <f>'FY28'!AJ96</f>
        <v>0</v>
      </c>
      <c r="AL96" s="75">
        <f>'FY29'!AJ96</f>
        <v>65000</v>
      </c>
      <c r="AM96" s="75">
        <f>'FY30'!AJ96</f>
        <v>131300</v>
      </c>
      <c r="AN96" s="75">
        <f>'FY31'!AJ96</f>
        <v>132613</v>
      </c>
      <c r="AP96" s="75">
        <f>'FY26'!AD96</f>
        <v>72100</v>
      </c>
      <c r="AQ96" s="75">
        <f>'FY27'!AP96</f>
        <v>72821</v>
      </c>
      <c r="AR96" s="75">
        <f>'FY28'!AP96</f>
        <v>73549.210000000006</v>
      </c>
      <c r="AS96" s="75">
        <f>'FY29'!AP96</f>
        <v>74284.70210000001</v>
      </c>
      <c r="AT96" s="75">
        <f>'FY30'!AP96</f>
        <v>75027.549121000004</v>
      </c>
      <c r="AU96" s="75">
        <f>'FY31'!AP96</f>
        <v>75777.82461221001</v>
      </c>
      <c r="AW96" s="75">
        <f>'FY26'!AJ96</f>
        <v>325100</v>
      </c>
      <c r="AX96" s="75">
        <f>'FY27'!AV96</f>
        <v>328351</v>
      </c>
      <c r="AY96" s="75">
        <f>'FY28'!AV96</f>
        <v>331634.51</v>
      </c>
      <c r="AZ96" s="75">
        <f>'FY29'!AV96</f>
        <v>399950.85510000004</v>
      </c>
      <c r="BA96" s="75">
        <f>'FY30'!AV96</f>
        <v>469600.36365100002</v>
      </c>
      <c r="BB96" s="75">
        <f>'FY31'!AV96</f>
        <v>474296.36728751007</v>
      </c>
      <c r="BD96" s="166"/>
      <c r="BE96" s="166"/>
    </row>
    <row r="97" spans="1:57" x14ac:dyDescent="0.25">
      <c r="A97" s="21" t="s">
        <v>79</v>
      </c>
      <c r="B97" s="75">
        <f>'FY26'!F97</f>
        <v>0</v>
      </c>
      <c r="C97" s="75">
        <f>'FY27'!F97</f>
        <v>0</v>
      </c>
      <c r="D97" s="75">
        <f>'FY28'!F97</f>
        <v>0</v>
      </c>
      <c r="E97" s="75">
        <f>'FY29'!F97</f>
        <v>0</v>
      </c>
      <c r="F97" s="75">
        <f>'FY30'!F97</f>
        <v>0</v>
      </c>
      <c r="G97" s="75">
        <f>'FY31'!F97</f>
        <v>0</v>
      </c>
      <c r="I97" s="75">
        <f>'FY26'!L97</f>
        <v>0</v>
      </c>
      <c r="J97" s="75">
        <f>'FY27'!L97</f>
        <v>0</v>
      </c>
      <c r="K97" s="75">
        <f>'FY28'!L97</f>
        <v>0</v>
      </c>
      <c r="L97" s="75">
        <f>'FY29'!L97</f>
        <v>0</v>
      </c>
      <c r="M97" s="75">
        <f>'FY30'!L97</f>
        <v>0</v>
      </c>
      <c r="N97" s="75">
        <f>'FY31'!L97</f>
        <v>0</v>
      </c>
      <c r="P97" s="75">
        <f>'FY26'!R97</f>
        <v>0</v>
      </c>
      <c r="Q97" s="75">
        <f>'FY27'!R97</f>
        <v>0</v>
      </c>
      <c r="R97" s="75">
        <f>'FY28'!R97</f>
        <v>0</v>
      </c>
      <c r="S97" s="75">
        <f>'FY29'!R97</f>
        <v>0</v>
      </c>
      <c r="T97" s="75">
        <f>'FY30'!R97</f>
        <v>0</v>
      </c>
      <c r="U97" s="75">
        <f>'FY31'!R97</f>
        <v>0</v>
      </c>
      <c r="W97" s="75">
        <f>'FY26'!X97</f>
        <v>0</v>
      </c>
      <c r="X97" s="75">
        <f>'FY27'!X97</f>
        <v>0</v>
      </c>
      <c r="Y97" s="75">
        <f>'FY28'!X97</f>
        <v>0</v>
      </c>
      <c r="Z97" s="75">
        <f>'FY29'!X97</f>
        <v>0</v>
      </c>
      <c r="AA97" s="75">
        <f>'FY30'!X97</f>
        <v>0</v>
      </c>
      <c r="AB97" s="75">
        <f>'FY31'!X97</f>
        <v>0</v>
      </c>
      <c r="AC97" s="194"/>
      <c r="AD97" s="75">
        <f>'FY27'!AD97</f>
        <v>0</v>
      </c>
      <c r="AE97" s="75">
        <f>'FY28'!AD97</f>
        <v>0</v>
      </c>
      <c r="AF97" s="75">
        <f>'FY29'!AD97</f>
        <v>0</v>
      </c>
      <c r="AG97" s="75">
        <f>'FY30'!AD97</f>
        <v>0</v>
      </c>
      <c r="AH97" s="75">
        <f>'FY31'!AD97</f>
        <v>0</v>
      </c>
      <c r="AI97" s="194"/>
      <c r="AJ97" s="75">
        <f>'FY27'!AJ97</f>
        <v>0</v>
      </c>
      <c r="AK97" s="75">
        <f>'FY28'!AJ97</f>
        <v>0</v>
      </c>
      <c r="AL97" s="75">
        <f>'FY29'!AJ97</f>
        <v>0</v>
      </c>
      <c r="AM97" s="75">
        <f>'FY30'!AJ97</f>
        <v>0</v>
      </c>
      <c r="AN97" s="75">
        <f>'FY31'!AJ97</f>
        <v>0</v>
      </c>
      <c r="AP97" s="75">
        <f>'FY26'!AD97</f>
        <v>0</v>
      </c>
      <c r="AQ97" s="75">
        <f>'FY27'!AP97</f>
        <v>0</v>
      </c>
      <c r="AR97" s="75">
        <f>'FY28'!AP97</f>
        <v>0</v>
      </c>
      <c r="AS97" s="75">
        <f>'FY29'!AP97</f>
        <v>0</v>
      </c>
      <c r="AT97" s="75">
        <f>'FY30'!AP97</f>
        <v>0</v>
      </c>
      <c r="AU97" s="75">
        <f>'FY31'!AP97</f>
        <v>0</v>
      </c>
      <c r="AW97" s="75">
        <f>'FY26'!AJ97</f>
        <v>0</v>
      </c>
      <c r="AX97" s="75">
        <f>'FY27'!AV97</f>
        <v>0</v>
      </c>
      <c r="AY97" s="75">
        <f>'FY28'!AV97</f>
        <v>0</v>
      </c>
      <c r="AZ97" s="75">
        <f>'FY29'!AV97</f>
        <v>0</v>
      </c>
      <c r="BA97" s="75">
        <f>'FY30'!AV97</f>
        <v>0</v>
      </c>
      <c r="BB97" s="75">
        <f>'FY31'!AV97</f>
        <v>0</v>
      </c>
      <c r="BD97" s="166"/>
      <c r="BE97" s="166"/>
    </row>
    <row r="98" spans="1:57" x14ac:dyDescent="0.25">
      <c r="A98" s="21" t="s">
        <v>80</v>
      </c>
      <c r="B98" s="75">
        <f>'FY26'!F98</f>
        <v>224000</v>
      </c>
      <c r="C98" s="75">
        <f>'FY27'!F98</f>
        <v>226240</v>
      </c>
      <c r="D98" s="75">
        <f>'FY28'!F98</f>
        <v>228502.39999999999</v>
      </c>
      <c r="E98" s="75">
        <f>'FY29'!F98</f>
        <v>230787.424</v>
      </c>
      <c r="F98" s="75">
        <f>'FY30'!F98</f>
        <v>233095.29824</v>
      </c>
      <c r="G98" s="75">
        <f>'FY31'!F98</f>
        <v>235426.25122239999</v>
      </c>
      <c r="I98" s="75">
        <f>'FY26'!L98</f>
        <v>252800</v>
      </c>
      <c r="J98" s="75">
        <f>'FY27'!L98</f>
        <v>255328</v>
      </c>
      <c r="K98" s="75">
        <f>'FY28'!L98</f>
        <v>257881.28</v>
      </c>
      <c r="L98" s="75">
        <f>'FY29'!L98</f>
        <v>260460.09280000001</v>
      </c>
      <c r="M98" s="75">
        <f>'FY30'!L98</f>
        <v>263064.69372800004</v>
      </c>
      <c r="N98" s="75">
        <f>'FY31'!L98</f>
        <v>265695.34066528006</v>
      </c>
      <c r="P98" s="75">
        <f>'FY26'!R98</f>
        <v>305000</v>
      </c>
      <c r="Q98" s="75">
        <f>'FY27'!R98</f>
        <v>308050</v>
      </c>
      <c r="R98" s="75">
        <f>'FY28'!R98</f>
        <v>311130.5</v>
      </c>
      <c r="S98" s="75">
        <f>'FY29'!R98</f>
        <v>314241.80499999999</v>
      </c>
      <c r="T98" s="75">
        <f>'FY30'!R98</f>
        <v>317384.22304999997</v>
      </c>
      <c r="U98" s="75">
        <f>'FY31'!R98</f>
        <v>320558.06528049998</v>
      </c>
      <c r="W98" s="75">
        <f>'FY26'!X98</f>
        <v>100000</v>
      </c>
      <c r="X98" s="75">
        <f>'FY27'!X98</f>
        <v>52520</v>
      </c>
      <c r="Y98" s="75">
        <f>'FY28'!X98</f>
        <v>53045.2</v>
      </c>
      <c r="Z98" s="75">
        <f>'FY29'!X98</f>
        <v>53575.651999999995</v>
      </c>
      <c r="AA98" s="75">
        <f>'FY30'!X98</f>
        <v>54111.408519999997</v>
      </c>
      <c r="AB98" s="75">
        <f>'FY31'!X98</f>
        <v>54652.5226052</v>
      </c>
      <c r="AC98" s="194"/>
      <c r="AD98" s="75">
        <f>'FY27'!AD98</f>
        <v>55000</v>
      </c>
      <c r="AE98" s="75">
        <f>'FY28'!AD98</f>
        <v>106050</v>
      </c>
      <c r="AF98" s="75">
        <f>'FY29'!AD98</f>
        <v>107110.5</v>
      </c>
      <c r="AG98" s="75">
        <f>'FY30'!AD98</f>
        <v>108181.605</v>
      </c>
      <c r="AH98" s="75">
        <f>'FY31'!AD98</f>
        <v>109263.42104999999</v>
      </c>
      <c r="AI98" s="194"/>
      <c r="AJ98" s="75">
        <f>'FY27'!AJ98</f>
        <v>0</v>
      </c>
      <c r="AK98" s="75">
        <f>'FY28'!AJ98</f>
        <v>105000</v>
      </c>
      <c r="AL98" s="75">
        <f>'FY29'!AJ98</f>
        <v>106050</v>
      </c>
      <c r="AM98" s="75">
        <f>'FY30'!AJ98</f>
        <v>107110.5</v>
      </c>
      <c r="AN98" s="75">
        <f>'FY31'!AJ98</f>
        <v>108181.605</v>
      </c>
      <c r="AP98" s="75">
        <f>'FY26'!AD98</f>
        <v>87500</v>
      </c>
      <c r="AQ98" s="75">
        <f>'FY27'!AP98</f>
        <v>88375</v>
      </c>
      <c r="AR98" s="75">
        <f>'FY28'!AP98</f>
        <v>89258.75</v>
      </c>
      <c r="AS98" s="75">
        <f>'FY29'!AP98</f>
        <v>90151.337499999994</v>
      </c>
      <c r="AT98" s="75">
        <f>'FY30'!AP98</f>
        <v>91052.850874999989</v>
      </c>
      <c r="AU98" s="75">
        <f>'FY31'!AP98</f>
        <v>91963.379383749983</v>
      </c>
      <c r="AW98" s="75">
        <f>'FY26'!AJ98</f>
        <v>969300</v>
      </c>
      <c r="AX98" s="75">
        <f>'FY27'!AV98</f>
        <v>985513</v>
      </c>
      <c r="AY98" s="75">
        <f>'FY28'!AV98</f>
        <v>1150868.1299999999</v>
      </c>
      <c r="AZ98" s="75">
        <f>'FY29'!AV98</f>
        <v>1162376.8113000002</v>
      </c>
      <c r="BA98" s="75">
        <f>'FY30'!AV98</f>
        <v>1174000.579413</v>
      </c>
      <c r="BB98" s="75">
        <f>'FY31'!AV98</f>
        <v>1185740.5852071301</v>
      </c>
      <c r="BD98" s="166"/>
      <c r="BE98" s="166"/>
    </row>
    <row r="99" spans="1:57" x14ac:dyDescent="0.25">
      <c r="A99" s="21" t="s">
        <v>81</v>
      </c>
      <c r="B99" s="75">
        <f>'FY26'!F99</f>
        <v>110740</v>
      </c>
      <c r="C99" s="75">
        <f>'FY27'!F99</f>
        <v>111880</v>
      </c>
      <c r="D99" s="75">
        <f>'FY28'!F99</f>
        <v>113020</v>
      </c>
      <c r="E99" s="75">
        <f>'FY29'!F99</f>
        <v>114160</v>
      </c>
      <c r="F99" s="75">
        <f>'FY30'!F99</f>
        <v>115300</v>
      </c>
      <c r="G99" s="75">
        <f>'FY31'!F99</f>
        <v>116440</v>
      </c>
      <c r="I99" s="75">
        <f>'FY26'!L99</f>
        <v>109440</v>
      </c>
      <c r="J99" s="75">
        <f>'FY27'!L99</f>
        <v>110580</v>
      </c>
      <c r="K99" s="75">
        <f>'FY28'!L99</f>
        <v>111720</v>
      </c>
      <c r="L99" s="75">
        <f>'FY29'!L99</f>
        <v>112860</v>
      </c>
      <c r="M99" s="75">
        <f>'FY30'!L99</f>
        <v>114000</v>
      </c>
      <c r="N99" s="75">
        <f>'FY31'!L99</f>
        <v>115140</v>
      </c>
      <c r="P99" s="75">
        <f>'FY26'!R99</f>
        <v>285240</v>
      </c>
      <c r="Q99" s="75">
        <f>'FY27'!R99</f>
        <v>288518</v>
      </c>
      <c r="R99" s="75">
        <f>'FY28'!R99</f>
        <v>291802.18</v>
      </c>
      <c r="S99" s="75">
        <f>'FY29'!R99</f>
        <v>292432.6018</v>
      </c>
      <c r="T99" s="75">
        <f>'FY30'!R99</f>
        <v>295729.32781799999</v>
      </c>
      <c r="U99" s="75">
        <f>'FY31'!R99</f>
        <v>296372.42109617998</v>
      </c>
      <c r="W99" s="75">
        <f>'FY26'!X99</f>
        <v>36960</v>
      </c>
      <c r="X99" s="75">
        <f>'FY27'!X99</f>
        <v>40400</v>
      </c>
      <c r="Y99" s="75">
        <f>'FY28'!X99</f>
        <v>40804</v>
      </c>
      <c r="Z99" s="75">
        <f>'FY29'!X99</f>
        <v>41212.04</v>
      </c>
      <c r="AA99" s="75">
        <f>'FY30'!X99</f>
        <v>41624.160400000001</v>
      </c>
      <c r="AB99" s="75">
        <f>'FY31'!X99</f>
        <v>42040.402004000003</v>
      </c>
      <c r="AC99" s="194"/>
      <c r="AD99" s="75">
        <f>'FY27'!AD99</f>
        <v>63840</v>
      </c>
      <c r="AE99" s="75">
        <f>'FY28'!AD99</f>
        <v>64600</v>
      </c>
      <c r="AF99" s="75">
        <f>'FY29'!AD99</f>
        <v>65360</v>
      </c>
      <c r="AG99" s="75">
        <f>'FY30'!AD99</f>
        <v>66120</v>
      </c>
      <c r="AH99" s="75">
        <f>'FY31'!AD99</f>
        <v>100320</v>
      </c>
      <c r="AI99" s="194"/>
      <c r="AJ99" s="75">
        <f>'FY27'!AJ99</f>
        <v>0</v>
      </c>
      <c r="AK99" s="75">
        <f>'FY28'!AJ99</f>
        <v>63840</v>
      </c>
      <c r="AL99" s="75">
        <f>'FY29'!AJ99</f>
        <v>64600</v>
      </c>
      <c r="AM99" s="75">
        <f>'FY30'!AJ99</f>
        <v>65360</v>
      </c>
      <c r="AN99" s="75">
        <f>'FY31'!AJ99</f>
        <v>66120</v>
      </c>
      <c r="AP99" s="75">
        <f>'FY26'!AD99</f>
        <v>0</v>
      </c>
      <c r="AQ99" s="75">
        <f>'FY27'!AP99</f>
        <v>0</v>
      </c>
      <c r="AR99" s="75">
        <f>'FY28'!AP99</f>
        <v>0</v>
      </c>
      <c r="AS99" s="75">
        <f>'FY29'!AP99</f>
        <v>0</v>
      </c>
      <c r="AT99" s="75">
        <f>'FY30'!AP99</f>
        <v>0</v>
      </c>
      <c r="AU99" s="75">
        <f>'FY31'!AP99</f>
        <v>0</v>
      </c>
      <c r="AW99" s="75">
        <f>'FY26'!AJ99</f>
        <v>542380</v>
      </c>
      <c r="AX99" s="75">
        <f>'FY27'!AV99</f>
        <v>615218</v>
      </c>
      <c r="AY99" s="75">
        <f>'FY28'!AV99</f>
        <v>685786.17999999993</v>
      </c>
      <c r="AZ99" s="75">
        <f>'FY29'!AV99</f>
        <v>690624.64179999998</v>
      </c>
      <c r="BA99" s="75">
        <f>'FY30'!AV99</f>
        <v>698133.48821800004</v>
      </c>
      <c r="BB99" s="75">
        <f>'FY31'!AV99</f>
        <v>736432.82310018002</v>
      </c>
      <c r="BD99" s="166"/>
      <c r="BE99" s="166"/>
    </row>
    <row r="100" spans="1:57" x14ac:dyDescent="0.25">
      <c r="A100" s="21" t="s">
        <v>82</v>
      </c>
      <c r="B100" s="75">
        <f>'FY26'!F100</f>
        <v>0</v>
      </c>
      <c r="C100" s="75">
        <f>'FY27'!F100</f>
        <v>0</v>
      </c>
      <c r="D100" s="75">
        <f>'FY28'!F100</f>
        <v>0</v>
      </c>
      <c r="E100" s="75">
        <f>'FY29'!F100</f>
        <v>0</v>
      </c>
      <c r="F100" s="75">
        <f>'FY30'!F100</f>
        <v>0</v>
      </c>
      <c r="G100" s="75">
        <f>'FY31'!F100</f>
        <v>0</v>
      </c>
      <c r="I100" s="75">
        <f>'FY26'!L100</f>
        <v>0</v>
      </c>
      <c r="J100" s="75">
        <f>'FY27'!L100</f>
        <v>0</v>
      </c>
      <c r="K100" s="75">
        <f>'FY28'!L100</f>
        <v>0</v>
      </c>
      <c r="L100" s="75">
        <f>'FY29'!L100</f>
        <v>0</v>
      </c>
      <c r="M100" s="75">
        <f>'FY30'!L100</f>
        <v>0</v>
      </c>
      <c r="N100" s="75">
        <f>'FY31'!L100</f>
        <v>0</v>
      </c>
      <c r="P100" s="75">
        <f>'FY26'!R100</f>
        <v>50000</v>
      </c>
      <c r="Q100" s="75">
        <f>'FY27'!R100</f>
        <v>50500</v>
      </c>
      <c r="R100" s="75">
        <f>'FY28'!R100</f>
        <v>51005</v>
      </c>
      <c r="S100" s="75">
        <f>'FY29'!R100</f>
        <v>51515.05</v>
      </c>
      <c r="T100" s="75">
        <f>'FY30'!R100</f>
        <v>52030.200500000006</v>
      </c>
      <c r="U100" s="75">
        <f>'FY31'!R100</f>
        <v>52550.502505000004</v>
      </c>
      <c r="W100" s="75">
        <f>'FY26'!X100</f>
        <v>0</v>
      </c>
      <c r="X100" s="75">
        <f>'FY27'!X100</f>
        <v>0</v>
      </c>
      <c r="Y100" s="75">
        <f>'FY28'!X100</f>
        <v>0</v>
      </c>
      <c r="Z100" s="75">
        <f>'FY29'!X100</f>
        <v>0</v>
      </c>
      <c r="AA100" s="75">
        <f>'FY30'!X100</f>
        <v>0</v>
      </c>
      <c r="AB100" s="75">
        <f>'FY31'!X100</f>
        <v>0</v>
      </c>
      <c r="AC100" s="194"/>
      <c r="AD100" s="75">
        <f>'FY27'!AD100</f>
        <v>0</v>
      </c>
      <c r="AE100" s="75">
        <f>'FY28'!AD100</f>
        <v>0</v>
      </c>
      <c r="AF100" s="75">
        <f>'FY29'!AD100</f>
        <v>0</v>
      </c>
      <c r="AG100" s="75">
        <f>'FY30'!AD100</f>
        <v>0</v>
      </c>
      <c r="AH100" s="75">
        <f>'FY31'!AD100</f>
        <v>0</v>
      </c>
      <c r="AI100" s="194"/>
      <c r="AJ100" s="75">
        <f>'FY27'!AJ100</f>
        <v>0</v>
      </c>
      <c r="AK100" s="75">
        <f>'FY28'!AJ100</f>
        <v>0</v>
      </c>
      <c r="AL100" s="75">
        <f>'FY29'!AJ100</f>
        <v>0</v>
      </c>
      <c r="AM100" s="75">
        <f>'FY30'!AJ100</f>
        <v>0</v>
      </c>
      <c r="AN100" s="75">
        <f>'FY31'!AJ100</f>
        <v>0</v>
      </c>
      <c r="AP100" s="75">
        <f>'FY26'!AD100</f>
        <v>0</v>
      </c>
      <c r="AQ100" s="75">
        <f>'FY27'!AP100</f>
        <v>0</v>
      </c>
      <c r="AR100" s="75">
        <f>'FY28'!AP100</f>
        <v>0</v>
      </c>
      <c r="AS100" s="75">
        <f>'FY29'!AP100</f>
        <v>0</v>
      </c>
      <c r="AT100" s="75">
        <f>'FY30'!AP100</f>
        <v>0</v>
      </c>
      <c r="AU100" s="75">
        <f>'FY31'!AP100</f>
        <v>0</v>
      </c>
      <c r="AW100" s="75">
        <f>'FY26'!AJ100</f>
        <v>50000</v>
      </c>
      <c r="AX100" s="75">
        <f>'FY27'!AV100</f>
        <v>50500</v>
      </c>
      <c r="AY100" s="75">
        <f>'FY28'!AV100</f>
        <v>51005</v>
      </c>
      <c r="AZ100" s="75">
        <f>'FY29'!AV100</f>
        <v>51515.05</v>
      </c>
      <c r="BA100" s="75">
        <f>'FY30'!AV100</f>
        <v>52030.200500000006</v>
      </c>
      <c r="BB100" s="75">
        <f>'FY31'!AV100</f>
        <v>52550.502505000004</v>
      </c>
      <c r="BD100" s="166"/>
      <c r="BE100" s="166"/>
    </row>
    <row r="101" spans="1:57" x14ac:dyDescent="0.25">
      <c r="A101" s="21" t="s">
        <v>83</v>
      </c>
      <c r="B101" s="75">
        <f>'FY26'!F101</f>
        <v>161280</v>
      </c>
      <c r="C101" s="75">
        <f>'FY27'!F101</f>
        <v>163200</v>
      </c>
      <c r="D101" s="75">
        <f>'FY28'!F101</f>
        <v>165120</v>
      </c>
      <c r="E101" s="75">
        <f>'FY29'!F101</f>
        <v>167040</v>
      </c>
      <c r="F101" s="75">
        <f>'FY30'!F101</f>
        <v>168960</v>
      </c>
      <c r="G101" s="75">
        <f>'FY31'!F101</f>
        <v>170880</v>
      </c>
      <c r="I101" s="75">
        <f>'FY26'!L101</f>
        <v>120960</v>
      </c>
      <c r="J101" s="75">
        <f>'FY27'!L101</f>
        <v>122400</v>
      </c>
      <c r="K101" s="75">
        <f>'FY28'!L101</f>
        <v>123840</v>
      </c>
      <c r="L101" s="75">
        <f>'FY29'!L101</f>
        <v>125280</v>
      </c>
      <c r="M101" s="75">
        <f>'FY30'!L101</f>
        <v>126720</v>
      </c>
      <c r="N101" s="75">
        <f>'FY31'!L101</f>
        <v>128160</v>
      </c>
      <c r="P101" s="75">
        <f>'FY26'!R101</f>
        <v>512500</v>
      </c>
      <c r="Q101" s="75">
        <f>'FY27'!R101</f>
        <v>518393</v>
      </c>
      <c r="R101" s="75">
        <f>'FY28'!R101</f>
        <v>524296.93000000005</v>
      </c>
      <c r="S101" s="75">
        <f>'FY29'!R101</f>
        <v>530211.89930000005</v>
      </c>
      <c r="T101" s="75">
        <f>'FY30'!R101</f>
        <v>578378.01829300006</v>
      </c>
      <c r="U101" s="75">
        <f>'FY31'!R101</f>
        <v>584795.39847592998</v>
      </c>
      <c r="W101" s="75">
        <f>'FY26'!X101</f>
        <v>57600</v>
      </c>
      <c r="X101" s="75">
        <f>'FY27'!X101</f>
        <v>38880</v>
      </c>
      <c r="Y101" s="75">
        <f>'FY28'!X101</f>
        <v>39360</v>
      </c>
      <c r="Z101" s="75">
        <f>'FY29'!X101</f>
        <v>39840</v>
      </c>
      <c r="AA101" s="75">
        <f>'FY30'!X101</f>
        <v>40320</v>
      </c>
      <c r="AB101" s="75">
        <f>'FY31'!X101</f>
        <v>40800</v>
      </c>
      <c r="AC101" s="194"/>
      <c r="AD101" s="75">
        <f>'FY27'!AD101</f>
        <v>40800</v>
      </c>
      <c r="AE101" s="75">
        <f>'FY28'!AD101</f>
        <v>82560</v>
      </c>
      <c r="AF101" s="75">
        <f>'FY29'!AD101</f>
        <v>125280</v>
      </c>
      <c r="AG101" s="75">
        <f>'FY30'!AD101</f>
        <v>211200</v>
      </c>
      <c r="AH101" s="75">
        <f>'FY31'!AD101</f>
        <v>213600</v>
      </c>
      <c r="AI101" s="194"/>
      <c r="AJ101" s="75">
        <f>'FY27'!AJ101</f>
        <v>0</v>
      </c>
      <c r="AK101" s="75">
        <f>'FY28'!AJ101</f>
        <v>147520</v>
      </c>
      <c r="AL101" s="75">
        <f>'FY29'!AJ101</f>
        <v>149220</v>
      </c>
      <c r="AM101" s="75">
        <f>'FY30'!AJ101</f>
        <v>196040</v>
      </c>
      <c r="AN101" s="75">
        <f>'FY31'!AJ101</f>
        <v>198220</v>
      </c>
      <c r="AP101" s="75">
        <f>'FY26'!AD101</f>
        <v>80500</v>
      </c>
      <c r="AQ101" s="75">
        <f>'FY27'!AP101</f>
        <v>81305</v>
      </c>
      <c r="AR101" s="75">
        <f>'FY28'!AP101</f>
        <v>82118.05</v>
      </c>
      <c r="AS101" s="75">
        <f>'FY29'!AP101</f>
        <v>0</v>
      </c>
      <c r="AT101" s="75">
        <f>'FY30'!AP101</f>
        <v>0</v>
      </c>
      <c r="AU101" s="75">
        <f>'FY31'!AP101</f>
        <v>0</v>
      </c>
      <c r="AW101" s="75">
        <f>'FY26'!AJ101</f>
        <v>932840</v>
      </c>
      <c r="AX101" s="75">
        <f>'FY27'!AV101</f>
        <v>964978</v>
      </c>
      <c r="AY101" s="75">
        <f>'FY28'!AV101</f>
        <v>1164814.98</v>
      </c>
      <c r="AZ101" s="75">
        <f>'FY29'!AV101</f>
        <v>1136871.8993000002</v>
      </c>
      <c r="BA101" s="75">
        <f>'FY30'!AV101</f>
        <v>1321618.0182930001</v>
      </c>
      <c r="BB101" s="75">
        <f>'FY31'!AV101</f>
        <v>1336455.3984759301</v>
      </c>
      <c r="BD101" s="166"/>
      <c r="BE101" s="166"/>
    </row>
    <row r="102" spans="1:57" x14ac:dyDescent="0.25">
      <c r="A102" s="21" t="s">
        <v>84</v>
      </c>
      <c r="B102" s="75">
        <f>'FY26'!F102</f>
        <v>102240</v>
      </c>
      <c r="C102" s="75">
        <f>'FY27'!F102</f>
        <v>103320</v>
      </c>
      <c r="D102" s="75">
        <f>'FY28'!F102</f>
        <v>104400</v>
      </c>
      <c r="E102" s="75">
        <f>'FY29'!F102</f>
        <v>105480</v>
      </c>
      <c r="F102" s="75">
        <f>'FY30'!F102</f>
        <v>106200</v>
      </c>
      <c r="G102" s="75">
        <f>'FY31'!F102</f>
        <v>107280</v>
      </c>
      <c r="I102" s="75">
        <f>'FY26'!L102</f>
        <v>102240</v>
      </c>
      <c r="J102" s="75">
        <f>'FY27'!L102</f>
        <v>102960</v>
      </c>
      <c r="K102" s="75">
        <f>'FY28'!L102</f>
        <v>104040</v>
      </c>
      <c r="L102" s="75">
        <f>'FY29'!L102</f>
        <v>104760</v>
      </c>
      <c r="M102" s="75">
        <f>'FY30'!L102</f>
        <v>105840</v>
      </c>
      <c r="N102" s="75">
        <f>'FY31'!L102</f>
        <v>106920</v>
      </c>
      <c r="P102" s="75">
        <f>'FY26'!R102</f>
        <v>293760</v>
      </c>
      <c r="Q102" s="75">
        <f>'FY27'!R102</f>
        <v>297000</v>
      </c>
      <c r="R102" s="75">
        <f>'FY28'!R102</f>
        <v>300240</v>
      </c>
      <c r="S102" s="75">
        <f>'FY29'!R102</f>
        <v>303120</v>
      </c>
      <c r="T102" s="75">
        <f>'FY30'!R102</f>
        <v>306360</v>
      </c>
      <c r="U102" s="75">
        <f>'FY31'!R102</f>
        <v>309600</v>
      </c>
      <c r="W102" s="75">
        <f>'FY26'!X102</f>
        <v>0</v>
      </c>
      <c r="X102" s="75">
        <f>'FY27'!X102</f>
        <v>0</v>
      </c>
      <c r="Y102" s="75">
        <f>'FY28'!X102</f>
        <v>0</v>
      </c>
      <c r="Z102" s="75">
        <f>'FY29'!X102</f>
        <v>0</v>
      </c>
      <c r="AA102" s="75">
        <f>'FY30'!X102</f>
        <v>0</v>
      </c>
      <c r="AB102" s="75">
        <f>'FY31'!X102</f>
        <v>0</v>
      </c>
      <c r="AC102" s="194"/>
      <c r="AD102" s="75">
        <f>'FY27'!AD102</f>
        <v>0</v>
      </c>
      <c r="AE102" s="75">
        <f>'FY28'!AD102</f>
        <v>0</v>
      </c>
      <c r="AF102" s="75">
        <f>'FY29'!AD102</f>
        <v>0</v>
      </c>
      <c r="AG102" s="75">
        <f>'FY30'!AD102</f>
        <v>0</v>
      </c>
      <c r="AH102" s="75">
        <f>'FY31'!AD102</f>
        <v>0</v>
      </c>
      <c r="AI102" s="194"/>
      <c r="AJ102" s="75">
        <f>'FY27'!AJ102</f>
        <v>0</v>
      </c>
      <c r="AK102" s="75">
        <f>'FY28'!AJ102</f>
        <v>0</v>
      </c>
      <c r="AL102" s="75">
        <f>'FY29'!AJ102</f>
        <v>0</v>
      </c>
      <c r="AM102" s="75">
        <f>'FY30'!AJ102</f>
        <v>0</v>
      </c>
      <c r="AN102" s="75">
        <f>'FY31'!AJ102</f>
        <v>0</v>
      </c>
      <c r="AP102" s="75">
        <f>'FY26'!AD102</f>
        <v>64375</v>
      </c>
      <c r="AQ102" s="75">
        <f>'FY27'!AP102</f>
        <v>65340.624999999993</v>
      </c>
      <c r="AR102" s="75">
        <f>'FY28'!AP102</f>
        <v>65994.03125</v>
      </c>
      <c r="AS102" s="75">
        <f>'FY29'!AP102</f>
        <v>66653.971562499995</v>
      </c>
      <c r="AT102" s="75">
        <f>'FY30'!AP102</f>
        <v>67320.511278124992</v>
      </c>
      <c r="AU102" s="75">
        <f>'FY31'!AP102</f>
        <v>67993.716390906236</v>
      </c>
      <c r="AW102" s="75">
        <f>'FY26'!AJ102</f>
        <v>562615</v>
      </c>
      <c r="AX102" s="75">
        <f>'FY27'!AV102</f>
        <v>568620.625</v>
      </c>
      <c r="AY102" s="75">
        <f>'FY28'!AV102</f>
        <v>574674.03125</v>
      </c>
      <c r="AZ102" s="75">
        <f>'FY29'!AV102</f>
        <v>580013.9715625</v>
      </c>
      <c r="BA102" s="75">
        <f>'FY30'!AV102</f>
        <v>585720.51127812499</v>
      </c>
      <c r="BB102" s="75">
        <f>'FY31'!AV102</f>
        <v>591793.71639090625</v>
      </c>
      <c r="BD102" s="166"/>
      <c r="BE102" s="166"/>
    </row>
    <row r="103" spans="1:57" x14ac:dyDescent="0.25">
      <c r="A103" s="21" t="s">
        <v>85</v>
      </c>
      <c r="B103" s="75">
        <f>'FY26'!F103</f>
        <v>0</v>
      </c>
      <c r="C103" s="75">
        <f>'FY27'!F103</f>
        <v>0</v>
      </c>
      <c r="D103" s="75">
        <f>'FY28'!F103</f>
        <v>0</v>
      </c>
      <c r="E103" s="75">
        <f>'FY29'!F103</f>
        <v>0</v>
      </c>
      <c r="F103" s="75">
        <f>'FY30'!F103</f>
        <v>0</v>
      </c>
      <c r="G103" s="75">
        <f>'FY31'!F103</f>
        <v>0</v>
      </c>
      <c r="I103" s="75">
        <f>'FY26'!L103</f>
        <v>0</v>
      </c>
      <c r="J103" s="75">
        <f>'FY27'!L103</f>
        <v>0</v>
      </c>
      <c r="K103" s="75">
        <f>'FY28'!L103</f>
        <v>0</v>
      </c>
      <c r="L103" s="75">
        <f>'FY29'!L103</f>
        <v>0</v>
      </c>
      <c r="M103" s="75">
        <f>'FY30'!L103</f>
        <v>0</v>
      </c>
      <c r="N103" s="75">
        <f>'FY31'!L103</f>
        <v>0</v>
      </c>
      <c r="P103" s="75">
        <f>'FY26'!R103</f>
        <v>0</v>
      </c>
      <c r="Q103" s="75">
        <f>'FY27'!R103</f>
        <v>0</v>
      </c>
      <c r="R103" s="75">
        <f>'FY28'!R103</f>
        <v>0</v>
      </c>
      <c r="S103" s="75">
        <f>'FY29'!R103</f>
        <v>0</v>
      </c>
      <c r="T103" s="75">
        <f>'FY30'!R103</f>
        <v>0</v>
      </c>
      <c r="U103" s="75">
        <f>'FY31'!R103</f>
        <v>0</v>
      </c>
      <c r="W103" s="75">
        <f>'FY26'!X103</f>
        <v>0</v>
      </c>
      <c r="X103" s="75">
        <f>'FY27'!X103</f>
        <v>0</v>
      </c>
      <c r="Y103" s="75">
        <f>'FY28'!X103</f>
        <v>0</v>
      </c>
      <c r="Z103" s="75">
        <f>'FY29'!X103</f>
        <v>0</v>
      </c>
      <c r="AA103" s="75">
        <f>'FY30'!X103</f>
        <v>0</v>
      </c>
      <c r="AB103" s="75">
        <f>'FY31'!X103</f>
        <v>0</v>
      </c>
      <c r="AC103" s="194"/>
      <c r="AD103" s="75">
        <f>'FY27'!AD103</f>
        <v>31920</v>
      </c>
      <c r="AE103" s="75">
        <f>'FY28'!AD103</f>
        <v>32300</v>
      </c>
      <c r="AF103" s="75">
        <f>'FY29'!AD103</f>
        <v>65360</v>
      </c>
      <c r="AG103" s="75">
        <f>'FY30'!AD103</f>
        <v>66120</v>
      </c>
      <c r="AH103" s="75">
        <f>'FY31'!AD103</f>
        <v>66880</v>
      </c>
      <c r="AI103" s="194"/>
      <c r="AJ103" s="75">
        <f>'FY27'!AJ103</f>
        <v>0</v>
      </c>
      <c r="AK103" s="75">
        <f>'FY28'!AJ103</f>
        <v>0</v>
      </c>
      <c r="AL103" s="75">
        <f>'FY29'!AJ103</f>
        <v>0</v>
      </c>
      <c r="AM103" s="75">
        <f>'FY30'!AJ103</f>
        <v>0</v>
      </c>
      <c r="AN103" s="75">
        <f>'FY31'!AJ103</f>
        <v>0</v>
      </c>
      <c r="AP103" s="75">
        <f>'FY26'!AD103</f>
        <v>0</v>
      </c>
      <c r="AQ103" s="75">
        <f>'FY27'!AP103</f>
        <v>0</v>
      </c>
      <c r="AR103" s="75">
        <f>'FY28'!AP103</f>
        <v>0</v>
      </c>
      <c r="AS103" s="75">
        <f>'FY29'!AP103</f>
        <v>0</v>
      </c>
      <c r="AT103" s="75">
        <f>'FY30'!AP103</f>
        <v>0</v>
      </c>
      <c r="AU103" s="75">
        <f>'FY31'!AP103</f>
        <v>0</v>
      </c>
      <c r="AW103" s="75">
        <f>'FY26'!AJ103</f>
        <v>0</v>
      </c>
      <c r="AX103" s="75">
        <f>'FY27'!AV103</f>
        <v>31920</v>
      </c>
      <c r="AY103" s="75">
        <f>'FY28'!AV103</f>
        <v>32300</v>
      </c>
      <c r="AZ103" s="75">
        <f>'FY29'!AV103</f>
        <v>65360</v>
      </c>
      <c r="BA103" s="75">
        <f>'FY30'!AV103</f>
        <v>66120</v>
      </c>
      <c r="BB103" s="75">
        <f>'FY31'!AV103</f>
        <v>66880</v>
      </c>
      <c r="BD103" s="166"/>
      <c r="BE103" s="166"/>
    </row>
    <row r="104" spans="1:57" x14ac:dyDescent="0.25">
      <c r="A104" s="21" t="s">
        <v>49</v>
      </c>
      <c r="B104" s="75">
        <f>'FY26'!F104</f>
        <v>92700</v>
      </c>
      <c r="C104" s="75">
        <f>'FY27'!F104</f>
        <v>93627</v>
      </c>
      <c r="D104" s="75">
        <f>'FY28'!F104</f>
        <v>94563.27</v>
      </c>
      <c r="E104" s="75">
        <f>'FY29'!F104</f>
        <v>95508.902700000006</v>
      </c>
      <c r="F104" s="75">
        <f>'FY30'!F104</f>
        <v>96463.991727000001</v>
      </c>
      <c r="G104" s="75">
        <f>'FY31'!F104</f>
        <v>97428.631644270004</v>
      </c>
      <c r="I104" s="75">
        <f>'FY26'!L104</f>
        <v>92700</v>
      </c>
      <c r="J104" s="75">
        <f>'FY27'!L104</f>
        <v>93627</v>
      </c>
      <c r="K104" s="75">
        <f>'FY28'!L104</f>
        <v>94563.27</v>
      </c>
      <c r="L104" s="75">
        <f>'FY29'!L104</f>
        <v>95508.902700000006</v>
      </c>
      <c r="M104" s="75">
        <f>'FY30'!L104</f>
        <v>96463.991727000001</v>
      </c>
      <c r="N104" s="75">
        <f>'FY31'!L104</f>
        <v>97428.631644270004</v>
      </c>
      <c r="P104" s="75">
        <f>'FY26'!R104</f>
        <v>83100</v>
      </c>
      <c r="Q104" s="75">
        <f>'FY27'!R104</f>
        <v>83931</v>
      </c>
      <c r="R104" s="75">
        <f>'FY28'!R104</f>
        <v>84770.31</v>
      </c>
      <c r="S104" s="75">
        <f>'FY29'!R104</f>
        <v>85618.013099999996</v>
      </c>
      <c r="T104" s="75">
        <f>'FY30'!R104</f>
        <v>86474.193230999997</v>
      </c>
      <c r="U104" s="75">
        <f>'FY31'!R104</f>
        <v>87338.935163310001</v>
      </c>
      <c r="W104" s="75">
        <f>'FY26'!X104</f>
        <v>0</v>
      </c>
      <c r="X104" s="75">
        <f>'FY27'!X104</f>
        <v>0</v>
      </c>
      <c r="Y104" s="75">
        <f>'FY28'!X104</f>
        <v>0</v>
      </c>
      <c r="Z104" s="75">
        <f>'FY29'!X104</f>
        <v>0</v>
      </c>
      <c r="AA104" s="75">
        <f>'FY30'!X104</f>
        <v>0</v>
      </c>
      <c r="AB104" s="75">
        <f>'FY31'!X104</f>
        <v>0</v>
      </c>
      <c r="AC104" s="194"/>
      <c r="AD104" s="75">
        <f>'FY27'!AD104</f>
        <v>0</v>
      </c>
      <c r="AE104" s="75">
        <f>'FY28'!AD104</f>
        <v>0</v>
      </c>
      <c r="AF104" s="75">
        <f>'FY29'!AD104</f>
        <v>0</v>
      </c>
      <c r="AG104" s="75">
        <f>'FY30'!AD104</f>
        <v>0</v>
      </c>
      <c r="AH104" s="75">
        <f>'FY31'!AD104</f>
        <v>0</v>
      </c>
      <c r="AI104" s="194"/>
      <c r="AJ104" s="75">
        <f>'FY27'!AJ104</f>
        <v>0</v>
      </c>
      <c r="AK104" s="75">
        <f>'FY28'!AJ104</f>
        <v>0</v>
      </c>
      <c r="AL104" s="75">
        <f>'FY29'!AJ104</f>
        <v>0</v>
      </c>
      <c r="AM104" s="75">
        <f>'FY30'!AJ104</f>
        <v>0</v>
      </c>
      <c r="AN104" s="75">
        <f>'FY31'!AJ104</f>
        <v>0</v>
      </c>
      <c r="AP104" s="75">
        <f>'FY26'!AD104</f>
        <v>0</v>
      </c>
      <c r="AQ104" s="75">
        <f>'FY27'!AP104</f>
        <v>0</v>
      </c>
      <c r="AR104" s="75">
        <f>'FY28'!AP104</f>
        <v>0</v>
      </c>
      <c r="AS104" s="75">
        <f>'FY29'!AP104</f>
        <v>0</v>
      </c>
      <c r="AT104" s="75">
        <f>'FY30'!AP104</f>
        <v>0</v>
      </c>
      <c r="AU104" s="75">
        <f>'FY31'!AP104</f>
        <v>0</v>
      </c>
      <c r="AW104" s="75">
        <f>'FY26'!AJ104</f>
        <v>268500</v>
      </c>
      <c r="AX104" s="75">
        <f>'FY27'!AV104</f>
        <v>271185</v>
      </c>
      <c r="AY104" s="75">
        <f>'FY28'!AV104</f>
        <v>273896.84999999998</v>
      </c>
      <c r="AZ104" s="75">
        <f>'FY29'!AV104</f>
        <v>276635.81849999999</v>
      </c>
      <c r="BA104" s="75">
        <f>'FY30'!AV104</f>
        <v>279402.17668500001</v>
      </c>
      <c r="BB104" s="75">
        <f>'FY31'!AV104</f>
        <v>282196.19845184998</v>
      </c>
      <c r="BD104" s="166"/>
      <c r="BE104" s="166"/>
    </row>
    <row r="105" spans="1:57" x14ac:dyDescent="0.25">
      <c r="A105" s="21" t="s">
        <v>86</v>
      </c>
      <c r="B105" s="75">
        <f>'FY26'!F105</f>
        <v>65000</v>
      </c>
      <c r="C105" s="75">
        <f>'FY27'!F105</f>
        <v>65650</v>
      </c>
      <c r="D105" s="75">
        <f>'FY28'!F105</f>
        <v>66306.5</v>
      </c>
      <c r="E105" s="75">
        <f>'FY29'!F105</f>
        <v>66969.565000000002</v>
      </c>
      <c r="F105" s="75">
        <f>'FY30'!F105</f>
        <v>67639.260649999997</v>
      </c>
      <c r="G105" s="75">
        <f>'FY31'!F105</f>
        <v>68315.653256499994</v>
      </c>
      <c r="I105" s="75">
        <f>'FY26'!L105</f>
        <v>65000</v>
      </c>
      <c r="J105" s="75">
        <f>'FY27'!L105</f>
        <v>65650</v>
      </c>
      <c r="K105" s="75">
        <f>'FY28'!L105</f>
        <v>66306.5</v>
      </c>
      <c r="L105" s="75">
        <f>'FY29'!L105</f>
        <v>66969.565000000002</v>
      </c>
      <c r="M105" s="75">
        <f>'FY30'!L105</f>
        <v>67639.260649999997</v>
      </c>
      <c r="N105" s="75">
        <f>'FY31'!L105</f>
        <v>68315.653256499994</v>
      </c>
      <c r="P105" s="75">
        <f>'FY26'!R105</f>
        <v>65000</v>
      </c>
      <c r="Q105" s="75">
        <f>'FY27'!R105</f>
        <v>65650</v>
      </c>
      <c r="R105" s="75">
        <f>'FY28'!R105</f>
        <v>66306.5</v>
      </c>
      <c r="S105" s="75">
        <f>'FY29'!R105</f>
        <v>66969.565000000002</v>
      </c>
      <c r="T105" s="75">
        <f>'FY30'!R105</f>
        <v>67639.260649999997</v>
      </c>
      <c r="U105" s="75">
        <f>'FY31'!R105</f>
        <v>68315.653256499994</v>
      </c>
      <c r="W105" s="75">
        <f>'FY26'!X105</f>
        <v>0</v>
      </c>
      <c r="X105" s="75">
        <f>'FY27'!X105</f>
        <v>0</v>
      </c>
      <c r="Y105" s="75">
        <f>'FY28'!X105</f>
        <v>0</v>
      </c>
      <c r="Z105" s="75">
        <f>'FY29'!X105</f>
        <v>0</v>
      </c>
      <c r="AA105" s="75">
        <f>'FY30'!X105</f>
        <v>0</v>
      </c>
      <c r="AB105" s="75">
        <f>'FY31'!X105</f>
        <v>0</v>
      </c>
      <c r="AC105" s="194"/>
      <c r="AD105" s="75">
        <f>'FY27'!AD105</f>
        <v>0</v>
      </c>
      <c r="AE105" s="75">
        <f>'FY28'!AD105</f>
        <v>0</v>
      </c>
      <c r="AF105" s="75">
        <f>'FY29'!AD105</f>
        <v>0</v>
      </c>
      <c r="AG105" s="75">
        <f>'FY30'!AD105</f>
        <v>0</v>
      </c>
      <c r="AH105" s="75">
        <f>'FY31'!AD105</f>
        <v>0</v>
      </c>
      <c r="AI105" s="194"/>
      <c r="AJ105" s="75">
        <f>'FY27'!AJ105</f>
        <v>0</v>
      </c>
      <c r="AK105" s="75">
        <f>'FY28'!AJ105</f>
        <v>0</v>
      </c>
      <c r="AL105" s="75">
        <f>'FY29'!AJ105</f>
        <v>0</v>
      </c>
      <c r="AM105" s="75">
        <f>'FY30'!AJ105</f>
        <v>0</v>
      </c>
      <c r="AN105" s="75">
        <f>'FY31'!AJ105</f>
        <v>0</v>
      </c>
      <c r="AP105" s="75">
        <f>'FY26'!AD105</f>
        <v>0</v>
      </c>
      <c r="AQ105" s="75">
        <f>'FY27'!AP105</f>
        <v>0</v>
      </c>
      <c r="AR105" s="75">
        <f>'FY28'!AP105</f>
        <v>0</v>
      </c>
      <c r="AS105" s="75">
        <f>'FY29'!AP105</f>
        <v>0</v>
      </c>
      <c r="AT105" s="75">
        <f>'FY30'!AP105</f>
        <v>0</v>
      </c>
      <c r="AU105" s="75">
        <f>'FY31'!AP105</f>
        <v>0</v>
      </c>
      <c r="AW105" s="75">
        <f>'FY26'!AJ105</f>
        <v>195000</v>
      </c>
      <c r="AX105" s="75">
        <f>'FY27'!AV105</f>
        <v>196950</v>
      </c>
      <c r="AY105" s="75">
        <f>'FY28'!AV105</f>
        <v>198919.5</v>
      </c>
      <c r="AZ105" s="75">
        <f>'FY29'!AV105</f>
        <v>200908.69500000001</v>
      </c>
      <c r="BA105" s="75">
        <f>'FY30'!AV105</f>
        <v>202917.78194999998</v>
      </c>
      <c r="BB105" s="75">
        <f>'FY31'!AV105</f>
        <v>204946.95976949998</v>
      </c>
      <c r="BD105" s="166"/>
      <c r="BE105" s="166"/>
    </row>
    <row r="106" spans="1:57" x14ac:dyDescent="0.25">
      <c r="A106" s="21" t="s">
        <v>87</v>
      </c>
      <c r="B106" s="75">
        <f>'FY26'!F106</f>
        <v>46000</v>
      </c>
      <c r="C106" s="75">
        <f>'FY27'!F106</f>
        <v>46460</v>
      </c>
      <c r="D106" s="75">
        <f>'FY28'!F106</f>
        <v>46924.6</v>
      </c>
      <c r="E106" s="75">
        <f>'FY29'!F106</f>
        <v>47393.845999999998</v>
      </c>
      <c r="F106" s="75">
        <f>'FY30'!F106</f>
        <v>47867.784459999995</v>
      </c>
      <c r="G106" s="75">
        <f>'FY31'!F106</f>
        <v>48346.462304599998</v>
      </c>
      <c r="I106" s="75">
        <f>'FY26'!L106</f>
        <v>46000</v>
      </c>
      <c r="J106" s="75">
        <f>'FY27'!L106</f>
        <v>46460</v>
      </c>
      <c r="K106" s="75">
        <f>'FY28'!L106</f>
        <v>46924.6</v>
      </c>
      <c r="L106" s="75">
        <f>'FY29'!L106</f>
        <v>47393.845999999998</v>
      </c>
      <c r="M106" s="75">
        <f>'FY30'!L106</f>
        <v>47867.784459999995</v>
      </c>
      <c r="N106" s="75">
        <f>'FY31'!L106</f>
        <v>48346.462304599998</v>
      </c>
      <c r="P106" s="75">
        <f>'FY26'!R106</f>
        <v>98000</v>
      </c>
      <c r="Q106" s="75">
        <f>'FY27'!R106</f>
        <v>98980</v>
      </c>
      <c r="R106" s="75">
        <f>'FY28'!R106</f>
        <v>99969.8</v>
      </c>
      <c r="S106" s="75">
        <f>'FY29'!R106</f>
        <v>100969.49800000001</v>
      </c>
      <c r="T106" s="75">
        <f>'FY30'!R106</f>
        <v>101979.19298000001</v>
      </c>
      <c r="U106" s="75">
        <f>'FY31'!R106</f>
        <v>102998.98490980001</v>
      </c>
      <c r="W106" s="75">
        <f>'FY26'!X106</f>
        <v>0</v>
      </c>
      <c r="X106" s="75">
        <f>'FY27'!X106</f>
        <v>0</v>
      </c>
      <c r="Y106" s="75">
        <f>'FY28'!X106</f>
        <v>0</v>
      </c>
      <c r="Z106" s="75">
        <f>'FY29'!X106</f>
        <v>0</v>
      </c>
      <c r="AA106" s="75">
        <f>'FY30'!X106</f>
        <v>0</v>
      </c>
      <c r="AB106" s="75">
        <f>'FY31'!X106</f>
        <v>0</v>
      </c>
      <c r="AC106" s="194"/>
      <c r="AD106" s="75">
        <f>'FY27'!AD106</f>
        <v>0</v>
      </c>
      <c r="AE106" s="75">
        <f>'FY28'!AD106</f>
        <v>0</v>
      </c>
      <c r="AF106" s="75">
        <f>'FY29'!AD106</f>
        <v>0</v>
      </c>
      <c r="AG106" s="75">
        <f>'FY30'!AD106</f>
        <v>0</v>
      </c>
      <c r="AH106" s="75">
        <f>'FY31'!AD106</f>
        <v>0</v>
      </c>
      <c r="AI106" s="194"/>
      <c r="AJ106" s="75">
        <f>'FY27'!AJ106</f>
        <v>0</v>
      </c>
      <c r="AK106" s="75">
        <f>'FY28'!AJ106</f>
        <v>0</v>
      </c>
      <c r="AL106" s="75">
        <f>'FY29'!AJ106</f>
        <v>0</v>
      </c>
      <c r="AM106" s="75">
        <f>'FY30'!AJ106</f>
        <v>0</v>
      </c>
      <c r="AN106" s="75">
        <f>'FY31'!AJ106</f>
        <v>0</v>
      </c>
      <c r="AP106" s="75">
        <f>'FY26'!AD106</f>
        <v>170000</v>
      </c>
      <c r="AQ106" s="75">
        <f>'FY27'!AP106</f>
        <v>171700</v>
      </c>
      <c r="AR106" s="75">
        <f>'FY28'!AP106</f>
        <v>173417</v>
      </c>
      <c r="AS106" s="75">
        <f>'FY29'!AP106</f>
        <v>175151.17</v>
      </c>
      <c r="AT106" s="75">
        <f>'FY30'!AP106</f>
        <v>176902.68170000002</v>
      </c>
      <c r="AU106" s="75">
        <f>'FY31'!AP106</f>
        <v>178671.70851700002</v>
      </c>
      <c r="AW106" s="75">
        <f>'FY26'!AJ106</f>
        <v>360000</v>
      </c>
      <c r="AX106" s="75">
        <f>'FY27'!AV106</f>
        <v>363600</v>
      </c>
      <c r="AY106" s="75">
        <f>'FY28'!AV106</f>
        <v>367236</v>
      </c>
      <c r="AZ106" s="75">
        <f>'FY29'!AV106</f>
        <v>370908.36</v>
      </c>
      <c r="BA106" s="75">
        <f>'FY30'!AV106</f>
        <v>374617.4436</v>
      </c>
      <c r="BB106" s="75">
        <f>'FY31'!AV106</f>
        <v>378363.61803600006</v>
      </c>
      <c r="BD106" s="166"/>
      <c r="BE106" s="166"/>
    </row>
    <row r="107" spans="1:57" x14ac:dyDescent="0.25">
      <c r="A107" s="21" t="s">
        <v>53</v>
      </c>
      <c r="B107" s="75">
        <f>'FY26'!F107</f>
        <v>0</v>
      </c>
      <c r="C107" s="75">
        <f>'FY27'!F107</f>
        <v>0</v>
      </c>
      <c r="D107" s="75">
        <f>'FY28'!F107</f>
        <v>0</v>
      </c>
      <c r="E107" s="75">
        <f>'FY29'!F107</f>
        <v>0</v>
      </c>
      <c r="F107" s="75">
        <f>'FY30'!F107</f>
        <v>0</v>
      </c>
      <c r="G107" s="75">
        <f>'FY31'!F107</f>
        <v>0</v>
      </c>
      <c r="I107" s="75">
        <f>'FY26'!L107</f>
        <v>0</v>
      </c>
      <c r="J107" s="75">
        <f>'FY27'!L107</f>
        <v>0</v>
      </c>
      <c r="K107" s="75">
        <f>'FY28'!L107</f>
        <v>0</v>
      </c>
      <c r="L107" s="75">
        <f>'FY29'!L107</f>
        <v>0</v>
      </c>
      <c r="M107" s="75">
        <f>'FY30'!L107</f>
        <v>0</v>
      </c>
      <c r="N107" s="75">
        <f>'FY31'!L107</f>
        <v>0</v>
      </c>
      <c r="P107" s="75">
        <f>'FY26'!R107</f>
        <v>90700</v>
      </c>
      <c r="Q107" s="75">
        <f>'FY27'!R107</f>
        <v>91607</v>
      </c>
      <c r="R107" s="75">
        <f>'FY28'!R107</f>
        <v>92523.07</v>
      </c>
      <c r="S107" s="75">
        <f>'FY29'!R107</f>
        <v>93448.300700000007</v>
      </c>
      <c r="T107" s="75">
        <f>'FY30'!R107</f>
        <v>94382.78370700001</v>
      </c>
      <c r="U107" s="75">
        <f>'FY31'!R107</f>
        <v>95326.611544070009</v>
      </c>
      <c r="W107" s="75">
        <f>'FY26'!X107</f>
        <v>0</v>
      </c>
      <c r="X107" s="75">
        <f>'FY27'!X107</f>
        <v>0</v>
      </c>
      <c r="Y107" s="75">
        <f>'FY28'!X107</f>
        <v>0</v>
      </c>
      <c r="Z107" s="75">
        <f>'FY29'!X107</f>
        <v>0</v>
      </c>
      <c r="AA107" s="75">
        <f>'FY30'!X107</f>
        <v>0</v>
      </c>
      <c r="AB107" s="75">
        <f>'FY31'!X107</f>
        <v>0</v>
      </c>
      <c r="AC107" s="194"/>
      <c r="AD107" s="75">
        <f>'FY27'!AD107</f>
        <v>0</v>
      </c>
      <c r="AE107" s="75">
        <f>'FY28'!AD107</f>
        <v>0</v>
      </c>
      <c r="AF107" s="75">
        <f>'FY29'!AD107</f>
        <v>0</v>
      </c>
      <c r="AG107" s="75">
        <f>'FY30'!AD107</f>
        <v>0</v>
      </c>
      <c r="AH107" s="75">
        <f>'FY31'!AD107</f>
        <v>0</v>
      </c>
      <c r="AI107" s="194"/>
      <c r="AJ107" s="75">
        <f>'FY27'!AJ107</f>
        <v>0</v>
      </c>
      <c r="AK107" s="75">
        <f>'FY28'!AJ107</f>
        <v>0</v>
      </c>
      <c r="AL107" s="75">
        <f>'FY29'!AJ107</f>
        <v>0</v>
      </c>
      <c r="AM107" s="75">
        <f>'FY30'!AJ107</f>
        <v>0</v>
      </c>
      <c r="AN107" s="75">
        <f>'FY31'!AJ107</f>
        <v>0</v>
      </c>
      <c r="AP107" s="75">
        <f>'FY26'!AD107</f>
        <v>0</v>
      </c>
      <c r="AQ107" s="75">
        <f>'FY27'!AP107</f>
        <v>0</v>
      </c>
      <c r="AR107" s="75">
        <f>'FY28'!AP107</f>
        <v>0</v>
      </c>
      <c r="AS107" s="75">
        <f>'FY29'!AP107</f>
        <v>0</v>
      </c>
      <c r="AT107" s="75">
        <f>'FY30'!AP107</f>
        <v>0</v>
      </c>
      <c r="AU107" s="75">
        <f>'FY31'!AP107</f>
        <v>0</v>
      </c>
      <c r="AW107" s="75">
        <f>'FY26'!AJ107</f>
        <v>90700</v>
      </c>
      <c r="AX107" s="75">
        <f>'FY27'!AV107</f>
        <v>91607</v>
      </c>
      <c r="AY107" s="75">
        <f>'FY28'!AV107</f>
        <v>92523.07</v>
      </c>
      <c r="AZ107" s="75">
        <f>'FY29'!AV107</f>
        <v>93448.300700000007</v>
      </c>
      <c r="BA107" s="75">
        <f>'FY30'!AV107</f>
        <v>94382.78370700001</v>
      </c>
      <c r="BB107" s="75">
        <f>'FY31'!AV107</f>
        <v>95326.611544070009</v>
      </c>
      <c r="BD107" s="166"/>
      <c r="BE107" s="166"/>
    </row>
    <row r="108" spans="1:57" x14ac:dyDescent="0.25">
      <c r="A108" s="22" t="s">
        <v>88</v>
      </c>
      <c r="B108" s="75">
        <f>'FY26'!F108</f>
        <v>88400</v>
      </c>
      <c r="C108" s="75">
        <f>'FY27'!F108</f>
        <v>89301.25</v>
      </c>
      <c r="D108" s="75">
        <f>'FY28'!F108</f>
        <v>90207.2</v>
      </c>
      <c r="E108" s="75">
        <f>'FY29'!F108</f>
        <v>91117.896999999997</v>
      </c>
      <c r="F108" s="75">
        <f>'FY30'!F108</f>
        <v>92033.388470000005</v>
      </c>
      <c r="G108" s="75">
        <f>'FY31'!F108</f>
        <v>92953.722354700003</v>
      </c>
      <c r="I108" s="75">
        <f>'FY26'!L108</f>
        <v>65000</v>
      </c>
      <c r="J108" s="75">
        <f>'FY27'!L108</f>
        <v>65650</v>
      </c>
      <c r="K108" s="75">
        <f>'FY28'!L108</f>
        <v>66306.5</v>
      </c>
      <c r="L108" s="75">
        <f>'FY29'!L108</f>
        <v>66969.565000000002</v>
      </c>
      <c r="M108" s="75">
        <f>'FY30'!L108</f>
        <v>67639.260649999997</v>
      </c>
      <c r="N108" s="75">
        <f>'FY31'!L108</f>
        <v>68315.653256499994</v>
      </c>
      <c r="P108" s="75">
        <f>'FY26'!R108</f>
        <v>61800</v>
      </c>
      <c r="Q108" s="75">
        <f>'FY27'!R108</f>
        <v>62418</v>
      </c>
      <c r="R108" s="75">
        <f>'FY28'!R108</f>
        <v>63042.18</v>
      </c>
      <c r="S108" s="75">
        <f>'FY29'!R108</f>
        <v>63672.601800000004</v>
      </c>
      <c r="T108" s="75">
        <f>'FY30'!R108</f>
        <v>64309.327818000005</v>
      </c>
      <c r="U108" s="75">
        <f>'FY31'!R108</f>
        <v>64952.421096180005</v>
      </c>
      <c r="W108" s="75">
        <f>'FY26'!X108</f>
        <v>0</v>
      </c>
      <c r="X108" s="75">
        <f>'FY27'!X108</f>
        <v>0</v>
      </c>
      <c r="Y108" s="75">
        <f>'FY28'!X108</f>
        <v>0</v>
      </c>
      <c r="Z108" s="75">
        <f>'FY29'!X108</f>
        <v>0</v>
      </c>
      <c r="AA108" s="75">
        <f>'FY30'!X108</f>
        <v>0</v>
      </c>
      <c r="AB108" s="75">
        <f>'FY31'!X108</f>
        <v>0</v>
      </c>
      <c r="AC108" s="194"/>
      <c r="AD108" s="75">
        <f>'FY27'!AD108</f>
        <v>0</v>
      </c>
      <c r="AE108" s="75">
        <f>'FY28'!AD108</f>
        <v>0</v>
      </c>
      <c r="AF108" s="75">
        <f>'FY29'!AD108</f>
        <v>0</v>
      </c>
      <c r="AG108" s="75">
        <f>'FY30'!AD108</f>
        <v>0</v>
      </c>
      <c r="AH108" s="75">
        <f>'FY31'!AD108</f>
        <v>0</v>
      </c>
      <c r="AI108" s="194"/>
      <c r="AJ108" s="75">
        <f>'FY27'!AJ108</f>
        <v>0</v>
      </c>
      <c r="AK108" s="75">
        <f>'FY28'!AJ108</f>
        <v>0</v>
      </c>
      <c r="AL108" s="75">
        <f>'FY29'!AJ108</f>
        <v>0</v>
      </c>
      <c r="AM108" s="75">
        <f>'FY30'!AJ108</f>
        <v>0</v>
      </c>
      <c r="AN108" s="75">
        <f>'FY31'!AJ108</f>
        <v>0</v>
      </c>
      <c r="AP108" s="75">
        <f>'FY26'!AD108</f>
        <v>0</v>
      </c>
      <c r="AQ108" s="75">
        <f>'FY27'!AP108</f>
        <v>0</v>
      </c>
      <c r="AR108" s="75">
        <f>'FY28'!AP108</f>
        <v>0</v>
      </c>
      <c r="AS108" s="75">
        <f>'FY29'!AP108</f>
        <v>0</v>
      </c>
      <c r="AT108" s="75">
        <f>'FY30'!AP108</f>
        <v>0</v>
      </c>
      <c r="AU108" s="75">
        <f>'FY31'!AP108</f>
        <v>0</v>
      </c>
      <c r="AW108" s="75">
        <f>'FY26'!AJ108</f>
        <v>215200</v>
      </c>
      <c r="AX108" s="75">
        <f>'FY27'!AV108</f>
        <v>217369.25</v>
      </c>
      <c r="AY108" s="75">
        <f>'FY28'!AV108</f>
        <v>219555.88</v>
      </c>
      <c r="AZ108" s="75">
        <f>'FY29'!AV108</f>
        <v>221760.0638</v>
      </c>
      <c r="BA108" s="75">
        <f>'FY30'!AV108</f>
        <v>223981.97693800001</v>
      </c>
      <c r="BB108" s="75">
        <f>'FY31'!AV108</f>
        <v>226221.79670738001</v>
      </c>
      <c r="BD108" s="166"/>
      <c r="BE108" s="166"/>
    </row>
    <row r="109" spans="1:57" x14ac:dyDescent="0.25">
      <c r="A109" s="27"/>
      <c r="B109" s="76">
        <f>'FY26'!F109</f>
        <v>1534786.5</v>
      </c>
      <c r="C109" s="76">
        <f>'FY27'!F109</f>
        <v>1550549.0150000001</v>
      </c>
      <c r="D109" s="76">
        <f>'FY28'!F109</f>
        <v>1566423.4426500003</v>
      </c>
      <c r="E109" s="76">
        <f>'FY29'!F109</f>
        <v>1582410.9020765</v>
      </c>
      <c r="F109" s="76">
        <f>'FY30'!F109</f>
        <v>1598152.5235972651</v>
      </c>
      <c r="G109" s="76">
        <f>'FY31'!F109</f>
        <v>1614369.4488332376</v>
      </c>
      <c r="I109" s="76">
        <f>'FY26'!L109</f>
        <v>1674280</v>
      </c>
      <c r="J109" s="76">
        <f>'FY27'!L109</f>
        <v>1690996.4</v>
      </c>
      <c r="K109" s="76">
        <f>'FY28'!L109</f>
        <v>1708206.9640000002</v>
      </c>
      <c r="L109" s="76">
        <f>'FY29'!L109</f>
        <v>1725193.0336399998</v>
      </c>
      <c r="M109" s="76">
        <f>'FY30'!L109</f>
        <v>1742675.9639764002</v>
      </c>
      <c r="N109" s="76">
        <f>'FY31'!L109</f>
        <v>1760297.1236161639</v>
      </c>
      <c r="P109" s="76">
        <f>'FY26'!R109</f>
        <v>2995840</v>
      </c>
      <c r="Q109" s="76">
        <f>'FY27'!R109</f>
        <v>3027294.4</v>
      </c>
      <c r="R109" s="76">
        <f>'FY28'!R109</f>
        <v>3058956.344</v>
      </c>
      <c r="S109" s="76">
        <f>'FY29'!R109</f>
        <v>3087807.9074400002</v>
      </c>
      <c r="T109" s="76">
        <f>'FY30'!R109</f>
        <v>3162131.1865143999</v>
      </c>
      <c r="U109" s="76">
        <f>'FY31'!R109</f>
        <v>3192248.2983795437</v>
      </c>
      <c r="W109" s="76">
        <f>'FY26'!X109</f>
        <v>324560</v>
      </c>
      <c r="X109" s="76">
        <f>'FY27'!X109</f>
        <v>258050</v>
      </c>
      <c r="Y109" s="76">
        <f>'FY28'!X109</f>
        <v>260721.7</v>
      </c>
      <c r="Z109" s="76">
        <f>'FY29'!X109</f>
        <v>263415.31700000004</v>
      </c>
      <c r="AA109" s="76">
        <f>'FY30'!X109</f>
        <v>266131.07016999996</v>
      </c>
      <c r="AB109" s="76">
        <f>'FY31'!X109</f>
        <v>268869.18087170005</v>
      </c>
      <c r="AC109" s="199"/>
      <c r="AD109" s="76">
        <f>'FY27'!AD109</f>
        <v>326560</v>
      </c>
      <c r="AE109" s="76">
        <f>'FY28'!AD109</f>
        <v>521860</v>
      </c>
      <c r="AF109" s="76">
        <f>'FY29'!AD109</f>
        <v>777724</v>
      </c>
      <c r="AG109" s="76">
        <f>'FY30'!AD109</f>
        <v>956231.24</v>
      </c>
      <c r="AH109" s="76">
        <f>'FY31'!AD109</f>
        <v>1188824.7060499999</v>
      </c>
      <c r="AI109" s="199"/>
      <c r="AJ109" s="76">
        <f>'FY27'!AJ109</f>
        <v>0</v>
      </c>
      <c r="AK109" s="76">
        <f>'FY28'!AJ109</f>
        <v>546360</v>
      </c>
      <c r="AL109" s="76">
        <f>'FY29'!AJ109</f>
        <v>793070</v>
      </c>
      <c r="AM109" s="76">
        <f>'FY30'!AJ109</f>
        <v>1003901.5</v>
      </c>
      <c r="AN109" s="76">
        <f>'FY31'!AJ109</f>
        <v>1100975.0150000001</v>
      </c>
      <c r="AP109" s="76">
        <f>'FY26'!AD109</f>
        <v>794475</v>
      </c>
      <c r="AQ109" s="76">
        <f>'FY27'!AP109</f>
        <v>799176.125</v>
      </c>
      <c r="AR109" s="76">
        <f>'FY28'!AP109</f>
        <v>805167.88624999998</v>
      </c>
      <c r="AS109" s="76">
        <f>'FY29'!AP109</f>
        <v>728280.33461250004</v>
      </c>
      <c r="AT109" s="76">
        <f>'FY30'!AP109</f>
        <v>733563.1379586251</v>
      </c>
      <c r="AU109" s="76">
        <f>'FY31'!AP109</f>
        <v>738898.76933821128</v>
      </c>
      <c r="AW109" s="76">
        <f>'FY26'!AJ109</f>
        <v>7323941.5</v>
      </c>
      <c r="AX109" s="76">
        <f>'FY27'!AV109</f>
        <v>7652625.9399999995</v>
      </c>
      <c r="AY109" s="76">
        <f>'FY28'!AV109</f>
        <v>8467696.3368999995</v>
      </c>
      <c r="AZ109" s="76">
        <f>'FY29'!AV109</f>
        <v>8957901.4947689995</v>
      </c>
      <c r="BA109" s="76">
        <f>'FY30'!AV109</f>
        <v>9462786.6222166922</v>
      </c>
      <c r="BB109" s="76">
        <f>'FY31'!AV109</f>
        <v>9864482.5420888588</v>
      </c>
      <c r="BD109" s="166"/>
      <c r="BE109" s="166"/>
    </row>
    <row r="110" spans="1:57" x14ac:dyDescent="0.25">
      <c r="A110" s="20" t="s">
        <v>285</v>
      </c>
      <c r="B110" s="75">
        <f>'FY26'!F110</f>
        <v>564034.03874999995</v>
      </c>
      <c r="C110" s="75">
        <f>'FY27'!F110</f>
        <v>577579.5080875</v>
      </c>
      <c r="D110" s="75">
        <f>'FY28'!F110</f>
        <v>591324.84960037505</v>
      </c>
      <c r="E110" s="75">
        <f>'FY29'!F110</f>
        <v>605272.17004426126</v>
      </c>
      <c r="F110" s="75">
        <f>'FY30'!F110</f>
        <v>619284.10289394029</v>
      </c>
      <c r="G110" s="75">
        <f>'FY31'!F110</f>
        <v>633640.00866704585</v>
      </c>
      <c r="I110" s="75">
        <f>'FY26'!L110</f>
        <v>615297.89999999991</v>
      </c>
      <c r="J110" s="75">
        <f>'FY27'!L110</f>
        <v>629896.15899999999</v>
      </c>
      <c r="K110" s="75">
        <f>'FY28'!L110</f>
        <v>644848.12890999997</v>
      </c>
      <c r="L110" s="75">
        <f>'FY29'!L110</f>
        <v>659886.33536729997</v>
      </c>
      <c r="M110" s="75">
        <f>'FY30'!L110</f>
        <v>675286.93604085501</v>
      </c>
      <c r="N110" s="75">
        <f>'FY31'!L110</f>
        <v>690916.62101934431</v>
      </c>
      <c r="P110" s="75">
        <f>'FY26'!R110</f>
        <v>1040583.0750000001</v>
      </c>
      <c r="Q110" s="75">
        <f>'FY27'!R110</f>
        <v>1065535.1202500002</v>
      </c>
      <c r="R110" s="75">
        <f>'FY28'!R110</f>
        <v>1102365.5965475</v>
      </c>
      <c r="S110" s="75">
        <f>'FY29'!R110</f>
        <v>1127009.2447964251</v>
      </c>
      <c r="T110" s="75">
        <f>'FY30'!R110</f>
        <v>1169533.2004006738</v>
      </c>
      <c r="U110" s="75">
        <f>'FY31'!R110</f>
        <v>1195420.5688025276</v>
      </c>
      <c r="W110" s="75">
        <f>'FY26'!X110</f>
        <v>119275.8</v>
      </c>
      <c r="X110" s="75">
        <f>'FY27'!X110</f>
        <v>96123.625</v>
      </c>
      <c r="Y110" s="75">
        <f>'FY28'!X110</f>
        <v>98422.441750000013</v>
      </c>
      <c r="Z110" s="75">
        <f>'FY29'!X110</f>
        <v>100756.35875250002</v>
      </c>
      <c r="AA110" s="75">
        <f>'FY30'!X110</f>
        <v>103125.789690875</v>
      </c>
      <c r="AB110" s="75">
        <f>'FY31'!X110</f>
        <v>105531.15349214226</v>
      </c>
      <c r="AC110" s="194"/>
      <c r="AD110" s="75">
        <f>'FY27'!AD110</f>
        <v>121643.59999999999</v>
      </c>
      <c r="AE110" s="75">
        <f>'FY28'!AD110</f>
        <v>197002.15</v>
      </c>
      <c r="AF110" s="75">
        <f>'FY29'!AD110</f>
        <v>297479.43</v>
      </c>
      <c r="AG110" s="75">
        <f>'FY30'!AD110</f>
        <v>370539.60550000001</v>
      </c>
      <c r="AH110" s="75">
        <f>'FY31'!AD110</f>
        <v>466613.69712462503</v>
      </c>
      <c r="AI110" s="194"/>
      <c r="AJ110" s="75">
        <f>'FY27'!AJ110</f>
        <v>0</v>
      </c>
      <c r="AK110" s="75">
        <f>'FY28'!AJ110</f>
        <v>203519.1</v>
      </c>
      <c r="AL110" s="75">
        <f>'FY29'!AJ110</f>
        <v>303349.27499999997</v>
      </c>
      <c r="AM110" s="75">
        <f>'FY30'!AJ110</f>
        <v>389011.83124999999</v>
      </c>
      <c r="AN110" s="75">
        <f>'FY31'!AJ110</f>
        <v>432132.69338750001</v>
      </c>
      <c r="AP110" s="75">
        <f>'FY26'!AD110</f>
        <v>291969.5625</v>
      </c>
      <c r="AQ110" s="75">
        <f>'FY27'!AP110</f>
        <v>296693.1065625</v>
      </c>
      <c r="AR110" s="75">
        <f>'FY28'!AP110</f>
        <v>301950.87705937499</v>
      </c>
      <c r="AS110" s="75">
        <f>'FY29'!AP110</f>
        <v>275567.22798928129</v>
      </c>
      <c r="AT110" s="75">
        <f>'FY30'!AP110</f>
        <v>280255.71595896722</v>
      </c>
      <c r="AU110" s="75">
        <f>'FY31'!AP110</f>
        <v>290017.76696524792</v>
      </c>
      <c r="AW110" s="75">
        <f>'FY26'!AJ110</f>
        <v>2631160.3762500007</v>
      </c>
      <c r="AX110" s="75">
        <f>'FY27'!AV110</f>
        <v>2787471.1189000001</v>
      </c>
      <c r="AY110" s="75">
        <f>'FY28'!AV110</f>
        <v>3139433.1438672496</v>
      </c>
      <c r="AZ110" s="75">
        <f>'FY29'!AV110</f>
        <v>3369320.0419497676</v>
      </c>
      <c r="BA110" s="75">
        <f>'FY30'!AV110</f>
        <v>3607037.1817353116</v>
      </c>
      <c r="BB110" s="75">
        <f>'FY31'!AV110</f>
        <v>3814272.5094584334</v>
      </c>
      <c r="BD110" s="166"/>
      <c r="BE110" s="166"/>
    </row>
    <row r="111" spans="1:57" x14ac:dyDescent="0.25">
      <c r="A111" s="21" t="s">
        <v>90</v>
      </c>
      <c r="B111" s="75">
        <f>'FY26'!F111</f>
        <v>272538.45500000002</v>
      </c>
      <c r="C111" s="75">
        <f>'FY27'!F111</f>
        <v>293909.45567500003</v>
      </c>
      <c r="D111" s="75">
        <f>'FY28'!F111</f>
        <v>317393.49241925002</v>
      </c>
      <c r="E111" s="75">
        <f>'FY29'!F111</f>
        <v>343771.42809344246</v>
      </c>
      <c r="F111" s="75">
        <f>'FY30'!F111</f>
        <v>367006.80106187699</v>
      </c>
      <c r="G111" s="75">
        <f>'FY31'!F111</f>
        <v>391361.37519749568</v>
      </c>
      <c r="I111" s="75">
        <f>'FY26'!L111</f>
        <v>259989.03749999998</v>
      </c>
      <c r="J111" s="75">
        <f>'FY27'!L111</f>
        <v>279405.83799999999</v>
      </c>
      <c r="K111" s="75">
        <f>'FY28'!L111</f>
        <v>300854.37587999995</v>
      </c>
      <c r="L111" s="75">
        <f>'FY29'!L111</f>
        <v>324939.7490138</v>
      </c>
      <c r="M111" s="75">
        <f>'FY30'!L111</f>
        <v>346181.60587893805</v>
      </c>
      <c r="N111" s="75">
        <f>'FY31'!L111</f>
        <v>368423.12056272745</v>
      </c>
      <c r="P111" s="75">
        <f>'FY26'!R111</f>
        <v>524961.92499999993</v>
      </c>
      <c r="Q111" s="75">
        <f>'FY27'!R111</f>
        <v>566580.49800000002</v>
      </c>
      <c r="R111" s="75">
        <f>'FY28'!R111</f>
        <v>611811.41048000008</v>
      </c>
      <c r="S111" s="75">
        <f>'FY29'!R111</f>
        <v>662473.98083479994</v>
      </c>
      <c r="T111" s="75">
        <f>'FY30'!R111</f>
        <v>720171.02839314798</v>
      </c>
      <c r="U111" s="75">
        <f>'FY31'!R111</f>
        <v>767847.17342707945</v>
      </c>
      <c r="W111" s="75">
        <f>'FY26'!X111</f>
        <v>55175.200000000004</v>
      </c>
      <c r="X111" s="75">
        <f>'FY27'!X111</f>
        <v>43394.25</v>
      </c>
      <c r="Y111" s="75">
        <f>'FY28'!X111</f>
        <v>55484.976499999997</v>
      </c>
      <c r="Z111" s="75">
        <f>'FY29'!X111</f>
        <v>50704.189265000001</v>
      </c>
      <c r="AA111" s="75">
        <f>'FY30'!X111</f>
        <v>54286.398157650001</v>
      </c>
      <c r="AB111" s="75">
        <f>'FY31'!X111</f>
        <v>58870.113139226502</v>
      </c>
      <c r="AC111" s="194"/>
      <c r="AD111" s="75">
        <f>'FY27'!AD111</f>
        <v>62160.700000000004</v>
      </c>
      <c r="AE111" s="75">
        <f>'FY28'!AD111</f>
        <v>101915.7</v>
      </c>
      <c r="AF111" s="75">
        <f>'FY29'!AD111</f>
        <v>160052.33000000002</v>
      </c>
      <c r="AG111" s="75">
        <f>'FY30'!AD111</f>
        <v>218472.40579999998</v>
      </c>
      <c r="AH111" s="75">
        <f>'FY31'!AD111</f>
        <v>278859.11177224998</v>
      </c>
      <c r="AI111" s="194"/>
      <c r="AJ111" s="75">
        <f>'FY27'!AJ111</f>
        <v>0</v>
      </c>
      <c r="AK111" s="75">
        <f>'FY28'!AJ111</f>
        <v>87960.2</v>
      </c>
      <c r="AL111" s="75">
        <f>'FY29'!AJ111</f>
        <v>141786.4</v>
      </c>
      <c r="AM111" s="75">
        <f>'FY30'!AJ111</f>
        <v>199908.5675</v>
      </c>
      <c r="AN111" s="75">
        <f>'FY31'!AJ111</f>
        <v>228533.87567499999</v>
      </c>
      <c r="AP111" s="75">
        <f>'FY26'!AD111</f>
        <v>125116</v>
      </c>
      <c r="AQ111" s="75">
        <f>'FY27'!AP111</f>
        <v>131859.94125</v>
      </c>
      <c r="AR111" s="75">
        <f>'FY28'!AP111</f>
        <v>138930.21952499999</v>
      </c>
      <c r="AS111" s="75">
        <f>'FY29'!AP111</f>
        <v>130373.26357637501</v>
      </c>
      <c r="AT111" s="75">
        <f>'FY30'!AP111</f>
        <v>136712.627591725</v>
      </c>
      <c r="AU111" s="75">
        <f>'FY31'!AP111</f>
        <v>151168.74156102436</v>
      </c>
      <c r="AW111" s="75">
        <f>'FY26'!AJ111</f>
        <v>1237780.6174999999</v>
      </c>
      <c r="AX111" s="75">
        <f>'FY27'!AV111</f>
        <v>1377310.6829250001</v>
      </c>
      <c r="AY111" s="75">
        <f>'FY28'!AV111</f>
        <v>1614350.3748042497</v>
      </c>
      <c r="AZ111" s="75">
        <f>'FY29'!AV111</f>
        <v>1814101.3407834177</v>
      </c>
      <c r="BA111" s="75">
        <f>'FY30'!AV111</f>
        <v>2042739.4343833383</v>
      </c>
      <c r="BB111" s="75">
        <f>'FY31'!AV111</f>
        <v>2245063.5113348034</v>
      </c>
      <c r="BD111" s="166"/>
      <c r="BE111" s="166"/>
    </row>
    <row r="112" spans="1:57" x14ac:dyDescent="0.25">
      <c r="A112" s="21" t="s">
        <v>91</v>
      </c>
      <c r="B112" s="75">
        <f>'FY26'!F112</f>
        <v>36250</v>
      </c>
      <c r="C112" s="75">
        <f>'FY27'!F112</f>
        <v>36250</v>
      </c>
      <c r="D112" s="75">
        <f>'FY28'!F112</f>
        <v>36250</v>
      </c>
      <c r="E112" s="75">
        <f>'FY29'!F112</f>
        <v>36250</v>
      </c>
      <c r="F112" s="75">
        <f>'FY30'!F112</f>
        <v>36250</v>
      </c>
      <c r="G112" s="75">
        <f>'FY31'!F112</f>
        <v>36250</v>
      </c>
      <c r="I112" s="75">
        <f>'FY26'!L112</f>
        <v>35625</v>
      </c>
      <c r="J112" s="75">
        <f>'FY27'!L112</f>
        <v>35625</v>
      </c>
      <c r="K112" s="75">
        <f>'FY28'!L112</f>
        <v>35625</v>
      </c>
      <c r="L112" s="75">
        <f>'FY29'!L112</f>
        <v>35625</v>
      </c>
      <c r="M112" s="75">
        <f>'FY30'!L112</f>
        <v>35625</v>
      </c>
      <c r="N112" s="75">
        <f>'FY31'!L112</f>
        <v>35625</v>
      </c>
      <c r="P112" s="75">
        <f>'FY26'!R112</f>
        <v>54500</v>
      </c>
      <c r="Q112" s="75">
        <f>'FY27'!R112</f>
        <v>54500</v>
      </c>
      <c r="R112" s="75">
        <f>'FY28'!R112</f>
        <v>54500</v>
      </c>
      <c r="S112" s="75">
        <f>'FY29'!R112</f>
        <v>54500</v>
      </c>
      <c r="T112" s="75">
        <f>'FY30'!R112</f>
        <v>55000</v>
      </c>
      <c r="U112" s="75">
        <f>'FY31'!R112</f>
        <v>55000</v>
      </c>
      <c r="W112" s="75">
        <f>'FY26'!X112</f>
        <v>1000</v>
      </c>
      <c r="X112" s="75">
        <f>'FY27'!X112</f>
        <v>5750</v>
      </c>
      <c r="Y112" s="75">
        <f>'FY28'!X112</f>
        <v>6250</v>
      </c>
      <c r="Z112" s="75">
        <f>'FY29'!X112</f>
        <v>5750</v>
      </c>
      <c r="AA112" s="75">
        <f>'FY30'!X112</f>
        <v>5750</v>
      </c>
      <c r="AB112" s="75">
        <f>'FY31'!X112</f>
        <v>12750</v>
      </c>
      <c r="AC112" s="194"/>
      <c r="AD112" s="75">
        <f>'FY27'!AD112</f>
        <v>2500</v>
      </c>
      <c r="AE112" s="75">
        <f>'FY28'!AD112</f>
        <v>10000</v>
      </c>
      <c r="AF112" s="75">
        <f>'FY29'!AD112</f>
        <v>14000</v>
      </c>
      <c r="AG112" s="75">
        <f>'FY30'!AD112</f>
        <v>18500</v>
      </c>
      <c r="AH112" s="75">
        <f>'FY31'!AD112</f>
        <v>25500</v>
      </c>
      <c r="AI112" s="194"/>
      <c r="AJ112" s="75">
        <f>'FY27'!AJ112</f>
        <v>0</v>
      </c>
      <c r="AK112" s="75">
        <f>'FY28'!AJ112</f>
        <v>10000</v>
      </c>
      <c r="AL112" s="75">
        <f>'FY29'!AJ112</f>
        <v>22000</v>
      </c>
      <c r="AM112" s="75">
        <f>'FY30'!AJ112</f>
        <v>26000</v>
      </c>
      <c r="AN112" s="75">
        <f>'FY31'!AJ112</f>
        <v>27500</v>
      </c>
      <c r="AP112" s="75">
        <f>'FY26'!AD112</f>
        <v>12250</v>
      </c>
      <c r="AQ112" s="75">
        <f>'FY27'!AP112</f>
        <v>12250</v>
      </c>
      <c r="AR112" s="75">
        <f>'FY28'!AP112</f>
        <v>12250</v>
      </c>
      <c r="AS112" s="75">
        <f>'FY29'!AP112</f>
        <v>11750</v>
      </c>
      <c r="AT112" s="75">
        <f>'FY30'!AP112</f>
        <v>11750</v>
      </c>
      <c r="AU112" s="75">
        <f>'FY31'!AP112</f>
        <v>11750</v>
      </c>
      <c r="AW112" s="75">
        <f>'FY26'!AJ112</f>
        <v>139625</v>
      </c>
      <c r="AX112" s="75">
        <f>'FY27'!AV112</f>
        <v>146875</v>
      </c>
      <c r="AY112" s="75">
        <f>'FY28'!AV112</f>
        <v>164875</v>
      </c>
      <c r="AZ112" s="75">
        <f>'FY29'!AV112</f>
        <v>179875</v>
      </c>
      <c r="BA112" s="75">
        <f>'FY30'!AV112</f>
        <v>188875</v>
      </c>
      <c r="BB112" s="75">
        <f>'FY31'!AV112</f>
        <v>204375</v>
      </c>
      <c r="BD112" s="166"/>
      <c r="BE112" s="166"/>
    </row>
    <row r="113" spans="1:57" x14ac:dyDescent="0.25">
      <c r="A113" s="21" t="s">
        <v>92</v>
      </c>
      <c r="B113" s="75">
        <f>'FY26'!F113</f>
        <v>6750</v>
      </c>
      <c r="C113" s="75">
        <f>'FY27'!F113</f>
        <v>6750</v>
      </c>
      <c r="D113" s="75">
        <f>'FY28'!F113</f>
        <v>6750</v>
      </c>
      <c r="E113" s="75">
        <f>'FY29'!F113</f>
        <v>6750</v>
      </c>
      <c r="F113" s="75">
        <f>'FY30'!F113</f>
        <v>6750</v>
      </c>
      <c r="G113" s="75">
        <f>'FY31'!F113</f>
        <v>6750</v>
      </c>
      <c r="I113" s="75">
        <f>'FY26'!L113</f>
        <v>6125</v>
      </c>
      <c r="J113" s="75">
        <f>'FY27'!L113</f>
        <v>6125</v>
      </c>
      <c r="K113" s="75">
        <f>'FY28'!L113</f>
        <v>6125</v>
      </c>
      <c r="L113" s="75">
        <f>'FY29'!L113</f>
        <v>6125</v>
      </c>
      <c r="M113" s="75">
        <f>'FY30'!L113</f>
        <v>6125</v>
      </c>
      <c r="N113" s="75">
        <f>'FY31'!L113</f>
        <v>6125</v>
      </c>
      <c r="P113" s="75">
        <f>'FY26'!R113</f>
        <v>13000</v>
      </c>
      <c r="Q113" s="75">
        <f>'FY27'!R113</f>
        <v>13000</v>
      </c>
      <c r="R113" s="75">
        <f>'FY28'!R113</f>
        <v>13000</v>
      </c>
      <c r="S113" s="75">
        <f>'FY29'!R113</f>
        <v>13000</v>
      </c>
      <c r="T113" s="75">
        <f>'FY30'!R113</f>
        <v>13250</v>
      </c>
      <c r="U113" s="75">
        <f>'FY31'!R113</f>
        <v>13250</v>
      </c>
      <c r="W113" s="75">
        <f>'FY26'!X113</f>
        <v>1375</v>
      </c>
      <c r="X113" s="75">
        <f>'FY27'!X113</f>
        <v>1000</v>
      </c>
      <c r="Y113" s="75">
        <f>'FY28'!X113</f>
        <v>1250</v>
      </c>
      <c r="Z113" s="75">
        <f>'FY29'!X113</f>
        <v>1000</v>
      </c>
      <c r="AA113" s="75">
        <f>'FY30'!X113</f>
        <v>1000</v>
      </c>
      <c r="AB113" s="75">
        <f>'FY31'!X113</f>
        <v>1000</v>
      </c>
      <c r="AC113" s="194"/>
      <c r="AD113" s="75">
        <f>'FY27'!AD113</f>
        <v>1500</v>
      </c>
      <c r="AE113" s="75">
        <f>'FY28'!AD113</f>
        <v>2250</v>
      </c>
      <c r="AF113" s="75">
        <f>'FY29'!AD113</f>
        <v>3250</v>
      </c>
      <c r="AG113" s="75">
        <f>'FY30'!AD113</f>
        <v>4000</v>
      </c>
      <c r="AH113" s="75">
        <f>'FY31'!AD113</f>
        <v>4750</v>
      </c>
      <c r="AI113" s="194"/>
      <c r="AJ113" s="75">
        <f>'FY27'!AJ113</f>
        <v>0</v>
      </c>
      <c r="AK113" s="75">
        <f>'FY28'!AJ113</f>
        <v>2000</v>
      </c>
      <c r="AL113" s="75">
        <f>'FY29'!AJ113</f>
        <v>2750</v>
      </c>
      <c r="AM113" s="75">
        <f>'FY30'!AJ113</f>
        <v>3500</v>
      </c>
      <c r="AN113" s="75">
        <f>'FY31'!AJ113</f>
        <v>3750</v>
      </c>
      <c r="AP113" s="75">
        <f>'FY26'!AD113</f>
        <v>2250</v>
      </c>
      <c r="AQ113" s="75">
        <f>'FY27'!AP113</f>
        <v>2250</v>
      </c>
      <c r="AR113" s="75">
        <f>'FY28'!AP113</f>
        <v>2250</v>
      </c>
      <c r="AS113" s="75">
        <f>'FY29'!AP113</f>
        <v>2000</v>
      </c>
      <c r="AT113" s="75">
        <f>'FY30'!AP113</f>
        <v>2000</v>
      </c>
      <c r="AU113" s="75">
        <f>'FY31'!AP113</f>
        <v>2000</v>
      </c>
      <c r="AW113" s="75">
        <f>'FY26'!AJ113</f>
        <v>29500</v>
      </c>
      <c r="AX113" s="75">
        <f>'FY27'!AV113</f>
        <v>30625</v>
      </c>
      <c r="AY113" s="75">
        <f>'FY28'!AV113</f>
        <v>33625</v>
      </c>
      <c r="AZ113" s="75">
        <f>'FY29'!AV113</f>
        <v>34875</v>
      </c>
      <c r="BA113" s="75">
        <f>'FY30'!AV113</f>
        <v>36625</v>
      </c>
      <c r="BB113" s="75">
        <f>'FY31'!AV113</f>
        <v>37625</v>
      </c>
      <c r="BD113" s="166"/>
      <c r="BE113" s="166"/>
    </row>
    <row r="114" spans="1:57" x14ac:dyDescent="0.25">
      <c r="A114" s="21" t="s">
        <v>93</v>
      </c>
      <c r="B114" s="75">
        <f>'FY26'!F114</f>
        <v>0</v>
      </c>
      <c r="C114" s="75">
        <f>'FY27'!F114</f>
        <v>0</v>
      </c>
      <c r="D114" s="75">
        <f>'FY28'!F114</f>
        <v>0</v>
      </c>
      <c r="E114" s="75">
        <f>'FY29'!F114</f>
        <v>0</v>
      </c>
      <c r="F114" s="75">
        <f>'FY30'!F114</f>
        <v>0</v>
      </c>
      <c r="G114" s="75">
        <f>'FY31'!F114</f>
        <v>0</v>
      </c>
      <c r="I114" s="75">
        <f>'FY26'!L114</f>
        <v>0</v>
      </c>
      <c r="J114" s="75">
        <f>'FY27'!L114</f>
        <v>0</v>
      </c>
      <c r="K114" s="75">
        <f>'FY28'!L114</f>
        <v>0</v>
      </c>
      <c r="L114" s="75">
        <f>'FY29'!L114</f>
        <v>0</v>
      </c>
      <c r="M114" s="75">
        <f>'FY30'!L114</f>
        <v>0</v>
      </c>
      <c r="N114" s="75">
        <f>'FY31'!L114</f>
        <v>0</v>
      </c>
      <c r="P114" s="75">
        <f>'FY26'!R114</f>
        <v>0</v>
      </c>
      <c r="Q114" s="75">
        <f>'FY27'!R114</f>
        <v>0</v>
      </c>
      <c r="R114" s="75">
        <f>'FY28'!R114</f>
        <v>0</v>
      </c>
      <c r="S114" s="75">
        <f>'FY29'!R114</f>
        <v>0</v>
      </c>
      <c r="T114" s="75">
        <f>'FY30'!R114</f>
        <v>0</v>
      </c>
      <c r="U114" s="75">
        <f>'FY31'!R114</f>
        <v>0</v>
      </c>
      <c r="W114" s="75">
        <f>'FY26'!X114</f>
        <v>0</v>
      </c>
      <c r="X114" s="75">
        <f>'FY27'!X114</f>
        <v>0</v>
      </c>
      <c r="Y114" s="75">
        <f>'FY28'!X114</f>
        <v>0</v>
      </c>
      <c r="Z114" s="75">
        <f>'FY29'!X114</f>
        <v>0</v>
      </c>
      <c r="AA114" s="75">
        <f>'FY30'!X114</f>
        <v>0</v>
      </c>
      <c r="AB114" s="75">
        <f>'FY31'!X114</f>
        <v>0</v>
      </c>
      <c r="AC114" s="194"/>
      <c r="AD114" s="75">
        <f>'FY27'!AD114</f>
        <v>0</v>
      </c>
      <c r="AE114" s="75">
        <f>'FY28'!AD114</f>
        <v>0</v>
      </c>
      <c r="AF114" s="75">
        <f>'FY29'!AD114</f>
        <v>0</v>
      </c>
      <c r="AG114" s="75">
        <f>'FY30'!AD114</f>
        <v>0</v>
      </c>
      <c r="AH114" s="75">
        <f>'FY31'!AD114</f>
        <v>0</v>
      </c>
      <c r="AI114" s="194"/>
      <c r="AJ114" s="75">
        <f>'FY27'!AJ114</f>
        <v>0</v>
      </c>
      <c r="AK114" s="75">
        <f>'FY28'!AJ114</f>
        <v>0</v>
      </c>
      <c r="AL114" s="75">
        <f>'FY29'!AJ114</f>
        <v>0</v>
      </c>
      <c r="AM114" s="75">
        <f>'FY30'!AJ114</f>
        <v>0</v>
      </c>
      <c r="AN114" s="75">
        <f>'FY31'!AJ114</f>
        <v>0</v>
      </c>
      <c r="AP114" s="75">
        <f>'FY26'!AD114</f>
        <v>0</v>
      </c>
      <c r="AQ114" s="75">
        <f>'FY27'!AP114</f>
        <v>0</v>
      </c>
      <c r="AR114" s="75">
        <f>'FY28'!AP114</f>
        <v>0</v>
      </c>
      <c r="AS114" s="75">
        <f>'FY29'!AP114</f>
        <v>0</v>
      </c>
      <c r="AT114" s="75">
        <f>'FY30'!AP114</f>
        <v>0</v>
      </c>
      <c r="AU114" s="75">
        <f>'FY31'!AP114</f>
        <v>0</v>
      </c>
      <c r="AW114" s="75">
        <f>'FY26'!AJ114</f>
        <v>0</v>
      </c>
      <c r="AX114" s="75">
        <f>'FY27'!AV114</f>
        <v>0</v>
      </c>
      <c r="AY114" s="75">
        <f>'FY28'!AV114</f>
        <v>0</v>
      </c>
      <c r="AZ114" s="75">
        <f>'FY29'!AV114</f>
        <v>0</v>
      </c>
      <c r="BA114" s="75">
        <f>'FY30'!AV114</f>
        <v>0</v>
      </c>
      <c r="BB114" s="75">
        <f>'FY31'!AV114</f>
        <v>0</v>
      </c>
      <c r="BD114" s="166"/>
      <c r="BE114" s="166"/>
    </row>
    <row r="115" spans="1:57" x14ac:dyDescent="0.25">
      <c r="A115" s="22" t="s">
        <v>94</v>
      </c>
      <c r="B115" s="75">
        <f>'FY26'!F115</f>
        <v>1500</v>
      </c>
      <c r="C115" s="75">
        <f>'FY27'!F115</f>
        <v>1500</v>
      </c>
      <c r="D115" s="75">
        <f>'FY28'!F115</f>
        <v>1500</v>
      </c>
      <c r="E115" s="75">
        <f>'FY29'!F115</f>
        <v>1500</v>
      </c>
      <c r="F115" s="75">
        <f>'FY30'!F115</f>
        <v>1500</v>
      </c>
      <c r="G115" s="75">
        <f>'FY31'!F115</f>
        <v>1500</v>
      </c>
      <c r="I115" s="75">
        <f>'FY26'!L115</f>
        <v>1500</v>
      </c>
      <c r="J115" s="75">
        <f>'FY27'!L115</f>
        <v>1500</v>
      </c>
      <c r="K115" s="75">
        <f>'FY28'!L115</f>
        <v>1500</v>
      </c>
      <c r="L115" s="75">
        <f>'FY29'!L115</f>
        <v>1500</v>
      </c>
      <c r="M115" s="75">
        <f>'FY30'!L115</f>
        <v>1500</v>
      </c>
      <c r="N115" s="75">
        <f>'FY31'!L115</f>
        <v>1500</v>
      </c>
      <c r="P115" s="75">
        <f>'FY26'!R115</f>
        <v>5000</v>
      </c>
      <c r="Q115" s="75">
        <f>'FY27'!R115</f>
        <v>5000</v>
      </c>
      <c r="R115" s="75">
        <f>'FY28'!R115</f>
        <v>5000</v>
      </c>
      <c r="S115" s="75">
        <f>'FY29'!R115</f>
        <v>5000</v>
      </c>
      <c r="T115" s="75">
        <f>'FY30'!R115</f>
        <v>5000</v>
      </c>
      <c r="U115" s="75">
        <f>'FY31'!R115</f>
        <v>5000</v>
      </c>
      <c r="W115" s="75">
        <f>'FY26'!X115</f>
        <v>1500</v>
      </c>
      <c r="X115" s="75">
        <f>'FY27'!X115</f>
        <v>2500</v>
      </c>
      <c r="Y115" s="75">
        <f>'FY28'!X115</f>
        <v>2500</v>
      </c>
      <c r="Z115" s="75">
        <f>'FY29'!X115</f>
        <v>2500</v>
      </c>
      <c r="AA115" s="75">
        <f>'FY30'!X115</f>
        <v>2500</v>
      </c>
      <c r="AB115" s="75">
        <f>'FY31'!X115</f>
        <v>2500</v>
      </c>
      <c r="AC115" s="194"/>
      <c r="AD115" s="75">
        <f>'FY27'!AD115</f>
        <v>2500</v>
      </c>
      <c r="AE115" s="75">
        <f>'FY28'!AD115</f>
        <v>2500</v>
      </c>
      <c r="AF115" s="75">
        <f>'FY29'!AD115</f>
        <v>2500</v>
      </c>
      <c r="AG115" s="75">
        <f>'FY30'!AD115</f>
        <v>2500</v>
      </c>
      <c r="AH115" s="75">
        <f>'FY31'!AD115</f>
        <v>2500</v>
      </c>
      <c r="AI115" s="194"/>
      <c r="AJ115" s="75">
        <f>'FY27'!AJ115</f>
        <v>0</v>
      </c>
      <c r="AK115" s="75">
        <f>'FY28'!AJ115</f>
        <v>2500</v>
      </c>
      <c r="AL115" s="75">
        <f>'FY29'!AJ115</f>
        <v>2000</v>
      </c>
      <c r="AM115" s="75">
        <f>'FY30'!AJ115</f>
        <v>2000</v>
      </c>
      <c r="AN115" s="75">
        <f>'FY31'!AJ115</f>
        <v>2000</v>
      </c>
      <c r="AP115" s="75">
        <f>'FY26'!AD115</f>
        <v>0</v>
      </c>
      <c r="AQ115" s="75">
        <f>'FY27'!AP115</f>
        <v>0</v>
      </c>
      <c r="AR115" s="75">
        <f>'FY28'!AP115</f>
        <v>0</v>
      </c>
      <c r="AS115" s="75">
        <f>'FY29'!AP115</f>
        <v>0</v>
      </c>
      <c r="AT115" s="75">
        <f>'FY30'!AP115</f>
        <v>0</v>
      </c>
      <c r="AU115" s="75">
        <f>'FY31'!AP115</f>
        <v>0</v>
      </c>
      <c r="AW115" s="75">
        <f>'FY26'!AJ115</f>
        <v>9500</v>
      </c>
      <c r="AX115" s="75">
        <f>'FY27'!AV115</f>
        <v>13000</v>
      </c>
      <c r="AY115" s="75">
        <f>'FY28'!AV115</f>
        <v>15500</v>
      </c>
      <c r="AZ115" s="75">
        <f>'FY29'!AV115</f>
        <v>15000</v>
      </c>
      <c r="BA115" s="75">
        <f>'FY30'!AV115</f>
        <v>15000</v>
      </c>
      <c r="BB115" s="75">
        <f>'FY31'!AV115</f>
        <v>15000</v>
      </c>
      <c r="BD115" s="166"/>
      <c r="BE115" s="166"/>
    </row>
    <row r="116" spans="1:57" x14ac:dyDescent="0.25">
      <c r="A116" s="27"/>
      <c r="B116" s="76">
        <f>'FY26'!F116</f>
        <v>881072.49374999991</v>
      </c>
      <c r="C116" s="76">
        <f>'FY27'!F116</f>
        <v>915988.96376250009</v>
      </c>
      <c r="D116" s="76">
        <f>'FY28'!F116</f>
        <v>953218.34201962501</v>
      </c>
      <c r="E116" s="76">
        <f>'FY29'!F116</f>
        <v>993543.59813770372</v>
      </c>
      <c r="F116" s="76">
        <f>'FY30'!F116</f>
        <v>1030790.9039558172</v>
      </c>
      <c r="G116" s="76">
        <f>'FY31'!F116</f>
        <v>1069501.3838645415</v>
      </c>
      <c r="I116" s="76">
        <f>'FY26'!L116</f>
        <v>918536.93749999988</v>
      </c>
      <c r="J116" s="76">
        <f>'FY27'!L116</f>
        <v>952551.99699999997</v>
      </c>
      <c r="K116" s="76">
        <f>'FY28'!L116</f>
        <v>988952.50478999992</v>
      </c>
      <c r="L116" s="76">
        <f>'FY29'!L116</f>
        <v>1028076.0843811</v>
      </c>
      <c r="M116" s="76">
        <f>'FY30'!L116</f>
        <v>1064718.541919793</v>
      </c>
      <c r="N116" s="76">
        <f>'FY31'!L116</f>
        <v>1102589.7415820719</v>
      </c>
      <c r="P116" s="76">
        <f>'FY26'!R116</f>
        <v>1638045</v>
      </c>
      <c r="Q116" s="76">
        <f>'FY27'!R116</f>
        <v>1704615.6182500003</v>
      </c>
      <c r="R116" s="76">
        <f>'FY28'!R116</f>
        <v>1786677.0070275001</v>
      </c>
      <c r="S116" s="76">
        <f>'FY29'!R116</f>
        <v>1861983.2256312249</v>
      </c>
      <c r="T116" s="76">
        <f>'FY30'!R116</f>
        <v>1962954.2287938218</v>
      </c>
      <c r="U116" s="76">
        <f>'FY31'!R116</f>
        <v>2036517.742229607</v>
      </c>
      <c r="W116" s="76">
        <f>'FY26'!X116</f>
        <v>178326</v>
      </c>
      <c r="X116" s="76">
        <f>'FY27'!X116</f>
        <v>148767.875</v>
      </c>
      <c r="Y116" s="76">
        <f>'FY28'!X116</f>
        <v>163907.41825000002</v>
      </c>
      <c r="Z116" s="76">
        <f>'FY29'!X116</f>
        <v>160710.54801750003</v>
      </c>
      <c r="AA116" s="76">
        <f>'FY30'!X116</f>
        <v>166662.18784852501</v>
      </c>
      <c r="AB116" s="76">
        <f>'FY31'!X116</f>
        <v>180651.26663136875</v>
      </c>
      <c r="AC116" s="199"/>
      <c r="AD116" s="76">
        <f>'FY27'!AD116</f>
        <v>190304.3</v>
      </c>
      <c r="AE116" s="76">
        <f>'FY28'!AD116</f>
        <v>313667.84999999998</v>
      </c>
      <c r="AF116" s="76">
        <f>'FY29'!AD116</f>
        <v>477281.76</v>
      </c>
      <c r="AG116" s="76">
        <f>'FY30'!AD116</f>
        <v>614012.01130000001</v>
      </c>
      <c r="AH116" s="76">
        <f>'FY31'!AD116</f>
        <v>778222.80889687501</v>
      </c>
      <c r="AI116" s="199"/>
      <c r="AJ116" s="76">
        <f>'FY27'!AJ116</f>
        <v>0</v>
      </c>
      <c r="AK116" s="76">
        <f>'FY28'!AJ116</f>
        <v>305979.3</v>
      </c>
      <c r="AL116" s="76">
        <f>'FY29'!AJ116</f>
        <v>471885.67499999993</v>
      </c>
      <c r="AM116" s="76">
        <f>'FY30'!AJ116</f>
        <v>620420.39874999993</v>
      </c>
      <c r="AN116" s="76">
        <f>'FY31'!AJ116</f>
        <v>693916.56906250003</v>
      </c>
      <c r="AP116" s="76">
        <f>'FY26'!AD116</f>
        <v>431585.5625</v>
      </c>
      <c r="AQ116" s="76">
        <f>'FY27'!AP116</f>
        <v>443053.04781250004</v>
      </c>
      <c r="AR116" s="76">
        <f>'FY28'!AP116</f>
        <v>455381.09658437502</v>
      </c>
      <c r="AS116" s="76">
        <f>'FY29'!AP116</f>
        <v>419690.49156565632</v>
      </c>
      <c r="AT116" s="76">
        <f>'FY30'!AP116</f>
        <v>430718.3435506922</v>
      </c>
      <c r="AU116" s="76">
        <f>'FY31'!AP116</f>
        <v>454936.50852627226</v>
      </c>
      <c r="AW116" s="76">
        <f>'FY26'!AJ116</f>
        <v>4047565.9937500004</v>
      </c>
      <c r="AX116" s="76">
        <f>'FY27'!AV116</f>
        <v>4355281.801825</v>
      </c>
      <c r="AY116" s="76">
        <f>'FY28'!AV116</f>
        <v>4967783.5186714996</v>
      </c>
      <c r="AZ116" s="76">
        <f>'FY29'!AV116</f>
        <v>5413171.3827331848</v>
      </c>
      <c r="BA116" s="76">
        <f>'FY30'!AV116</f>
        <v>5890276.61611865</v>
      </c>
      <c r="BB116" s="76">
        <f>'FY31'!AV116</f>
        <v>6316336.0207932368</v>
      </c>
      <c r="BD116" s="166"/>
      <c r="BE116" s="166"/>
    </row>
    <row r="117" spans="1:57" x14ac:dyDescent="0.25">
      <c r="B117" s="77">
        <f>'FY26'!F117</f>
        <v>0</v>
      </c>
      <c r="C117" s="77">
        <f>'FY27'!F117</f>
        <v>0</v>
      </c>
      <c r="D117" s="77">
        <f>'FY28'!F117</f>
        <v>0</v>
      </c>
      <c r="E117" s="77">
        <f>'FY29'!F117</f>
        <v>0</v>
      </c>
      <c r="F117" s="77">
        <f>'FY30'!F117</f>
        <v>0</v>
      </c>
      <c r="G117" s="77">
        <f>'FY31'!F117</f>
        <v>0</v>
      </c>
      <c r="I117" s="77">
        <f>'FY26'!L117</f>
        <v>0</v>
      </c>
      <c r="J117" s="77">
        <f>'FY27'!L117</f>
        <v>0</v>
      </c>
      <c r="K117" s="77">
        <f>'FY28'!L117</f>
        <v>0</v>
      </c>
      <c r="L117" s="77">
        <f>'FY29'!L117</f>
        <v>0</v>
      </c>
      <c r="M117" s="77">
        <f>'FY30'!L117</f>
        <v>0</v>
      </c>
      <c r="N117" s="77">
        <f>'FY31'!L117</f>
        <v>0</v>
      </c>
      <c r="P117" s="77">
        <f>'FY26'!R117</f>
        <v>0</v>
      </c>
      <c r="Q117" s="77">
        <f>'FY27'!R117</f>
        <v>0</v>
      </c>
      <c r="R117" s="77">
        <f>'FY28'!R117</f>
        <v>0</v>
      </c>
      <c r="S117" s="77">
        <f>'FY29'!R117</f>
        <v>0</v>
      </c>
      <c r="T117" s="77">
        <f>'FY30'!R117</f>
        <v>0</v>
      </c>
      <c r="U117" s="77">
        <f>'FY31'!R117</f>
        <v>0</v>
      </c>
      <c r="W117" s="77">
        <f>'FY26'!X117</f>
        <v>0</v>
      </c>
      <c r="X117" s="77">
        <f>'FY27'!X117</f>
        <v>0</v>
      </c>
      <c r="Y117" s="77">
        <f>'FY28'!X117</f>
        <v>0</v>
      </c>
      <c r="Z117" s="77">
        <f>'FY29'!X117</f>
        <v>0</v>
      </c>
      <c r="AA117" s="77">
        <f>'FY30'!X117</f>
        <v>0</v>
      </c>
      <c r="AB117" s="77">
        <f>'FY31'!X117</f>
        <v>0</v>
      </c>
      <c r="AC117" s="79"/>
      <c r="AD117" s="77">
        <f>'FY27'!AD117</f>
        <v>0</v>
      </c>
      <c r="AE117" s="77">
        <f>'FY28'!AD117</f>
        <v>0</v>
      </c>
      <c r="AF117" s="77">
        <f>'FY29'!AD117</f>
        <v>0</v>
      </c>
      <c r="AG117" s="77">
        <f>'FY30'!AD117</f>
        <v>0</v>
      </c>
      <c r="AH117" s="77">
        <f>'FY31'!AD117</f>
        <v>0</v>
      </c>
      <c r="AI117" s="79"/>
      <c r="AJ117" s="77">
        <f>'FY27'!AJ117</f>
        <v>0</v>
      </c>
      <c r="AK117" s="77">
        <f>'FY28'!AJ117</f>
        <v>0</v>
      </c>
      <c r="AL117" s="77">
        <f>'FY29'!AJ117</f>
        <v>0</v>
      </c>
      <c r="AM117" s="77">
        <f>'FY30'!AJ117</f>
        <v>0</v>
      </c>
      <c r="AN117" s="77">
        <f>'FY31'!AJ117</f>
        <v>0</v>
      </c>
      <c r="AP117" s="77">
        <f>'FY26'!AD117</f>
        <v>0</v>
      </c>
      <c r="AQ117" s="77">
        <f>'FY27'!AP117</f>
        <v>0</v>
      </c>
      <c r="AR117" s="77">
        <f>'FY28'!AP117</f>
        <v>0</v>
      </c>
      <c r="AS117" s="77">
        <f>'FY29'!AP117</f>
        <v>0</v>
      </c>
      <c r="AT117" s="77">
        <f>'FY30'!AP117</f>
        <v>0</v>
      </c>
      <c r="AU117" s="77">
        <f>'FY31'!AP117</f>
        <v>0</v>
      </c>
      <c r="AW117" s="77">
        <f>'FY26'!AJ117</f>
        <v>0</v>
      </c>
      <c r="AX117" s="77">
        <f>'FY27'!AV117</f>
        <v>0</v>
      </c>
      <c r="AY117" s="77">
        <f>'FY28'!AV117</f>
        <v>0</v>
      </c>
      <c r="AZ117" s="77">
        <f>'FY29'!AV117</f>
        <v>0</v>
      </c>
      <c r="BA117" s="77">
        <f>'FY30'!AV117</f>
        <v>0</v>
      </c>
      <c r="BB117" s="77">
        <f>'FY31'!AV117</f>
        <v>0</v>
      </c>
      <c r="BD117" s="166"/>
      <c r="BE117" s="166"/>
    </row>
    <row r="118" spans="1:57" x14ac:dyDescent="0.25">
      <c r="A118" s="28"/>
      <c r="B118" s="78" t="str">
        <f>'FY26'!F118</f>
        <v>FY26- Mtn</v>
      </c>
      <c r="C118" s="78" t="str">
        <f>'FY27'!F118</f>
        <v>FY27- Mtn</v>
      </c>
      <c r="D118" s="78" t="str">
        <f>'FY28'!F118</f>
        <v>FY28- Mtn</v>
      </c>
      <c r="E118" s="78" t="str">
        <f>'FY29'!F118</f>
        <v>FY29- Mtn</v>
      </c>
      <c r="F118" s="78" t="str">
        <f>'FY30'!F118</f>
        <v>FY30- Mtn</v>
      </c>
      <c r="G118" s="78" t="str">
        <f>'FY31'!F118</f>
        <v>FY31- Mtn</v>
      </c>
      <c r="I118" s="78" t="str">
        <f>'FY26'!L118</f>
        <v>FY26- Bon</v>
      </c>
      <c r="J118" s="78" t="str">
        <f>'FY27'!L118</f>
        <v>FY27- Bon</v>
      </c>
      <c r="K118" s="78" t="str">
        <f>'FY28'!L118</f>
        <v>FY28- Bon</v>
      </c>
      <c r="L118" s="78" t="str">
        <f>'FY29'!L118</f>
        <v>FY29- Bon</v>
      </c>
      <c r="M118" s="78" t="str">
        <f>'FY30'!L118</f>
        <v>FY30- Bon</v>
      </c>
      <c r="N118" s="78" t="str">
        <f>'FY31'!L118</f>
        <v>FY31- Bon</v>
      </c>
      <c r="P118" s="78" t="str">
        <f>'FY26'!R118</f>
        <v>FY26- East</v>
      </c>
      <c r="Q118" s="78" t="str">
        <f>'FY27'!R118</f>
        <v>FY27- East</v>
      </c>
      <c r="R118" s="78" t="str">
        <f>'FY28'!R118</f>
        <v>FY28- East</v>
      </c>
      <c r="S118" s="78" t="str">
        <f>'FY29'!R118</f>
        <v>FY29- East</v>
      </c>
      <c r="T118" s="78" t="str">
        <f>'FY30'!R118</f>
        <v>FY30- East</v>
      </c>
      <c r="U118" s="78" t="str">
        <f>'FY31'!R118</f>
        <v>FY31- East</v>
      </c>
      <c r="W118" s="78" t="str">
        <f>'FY26'!X118</f>
        <v>FY26- Cactus</v>
      </c>
      <c r="X118" s="78" t="str">
        <f>'FY27'!X118</f>
        <v>FY27- Cactus</v>
      </c>
      <c r="Y118" s="78" t="str">
        <f>'FY28'!X118</f>
        <v>FY28- Cactus</v>
      </c>
      <c r="Z118" s="78" t="str">
        <f>'FY29'!X118</f>
        <v>FY29- Cactus</v>
      </c>
      <c r="AA118" s="78" t="str">
        <f>'FY30'!X118</f>
        <v>FY30- Cactus</v>
      </c>
      <c r="AB118" s="78" t="str">
        <f>'FY31'!X118</f>
        <v>FY31- Cactus</v>
      </c>
      <c r="AC118" s="201"/>
      <c r="AD118" s="78" t="str">
        <f>'FY27'!AD118</f>
        <v>FY27- Sahara</v>
      </c>
      <c r="AE118" s="78" t="str">
        <f>'FY28'!AD118</f>
        <v>FY28- Sahara</v>
      </c>
      <c r="AF118" s="78" t="str">
        <f>'FY29'!AD118</f>
        <v>FY29- Sahara</v>
      </c>
      <c r="AG118" s="78" t="str">
        <f>'FY30'!AD118</f>
        <v>FY30- Sahara</v>
      </c>
      <c r="AH118" s="78" t="str">
        <f>'FY31'!AD118</f>
        <v>FY31- Sahara</v>
      </c>
      <c r="AI118" s="201"/>
      <c r="AJ118" s="78" t="str">
        <f>'FY27'!AJ118</f>
        <v>FY27- VV</v>
      </c>
      <c r="AK118" s="78" t="str">
        <f>'FY28'!AJ118</f>
        <v>FY27- VV</v>
      </c>
      <c r="AL118" s="78" t="str">
        <f>'FY29'!AJ118</f>
        <v>FY29- VV</v>
      </c>
      <c r="AM118" s="78" t="str">
        <f>'FY30'!AJ118</f>
        <v>FY30- VV</v>
      </c>
      <c r="AN118" s="78" t="str">
        <f>'FY31'!AJ118</f>
        <v>FY31- VV</v>
      </c>
      <c r="AP118" s="78" t="str">
        <f>'FY26'!AD118</f>
        <v>FY26 - Central</v>
      </c>
      <c r="AQ118" s="78" t="str">
        <f>'FY27'!AP118</f>
        <v>FY27 - Central</v>
      </c>
      <c r="AR118" s="78" t="str">
        <f>'FY28'!AP118</f>
        <v>FY28 - Central</v>
      </c>
      <c r="AS118" s="78" t="str">
        <f>'FY29'!AP118</f>
        <v>FY29 - Central</v>
      </c>
      <c r="AT118" s="78" t="str">
        <f>'FY30'!AP118</f>
        <v>FY30 - Central</v>
      </c>
      <c r="AU118" s="78" t="str">
        <f>'FY31'!AP118</f>
        <v>FY31 - Central</v>
      </c>
      <c r="AW118" s="78" t="str">
        <f>'FY26'!AJ118</f>
        <v>FY26- Sys</v>
      </c>
      <c r="AX118" s="78" t="str">
        <f>'FY27'!AV118</f>
        <v>FY27- Sys</v>
      </c>
      <c r="AY118" s="78" t="str">
        <f>'FY28'!AV118</f>
        <v>FY28- Sys</v>
      </c>
      <c r="AZ118" s="78" t="str">
        <f>'FY29'!AV118</f>
        <v>FY29- Sys</v>
      </c>
      <c r="BA118" s="78" t="str">
        <f>'FY30'!AV118</f>
        <v>FY29- Sys</v>
      </c>
      <c r="BB118" s="78" t="str">
        <f>'FY31'!AV118</f>
        <v>FY31- Sys</v>
      </c>
      <c r="BD118" s="166"/>
      <c r="BE118" s="166"/>
    </row>
    <row r="119" spans="1:57" x14ac:dyDescent="0.25">
      <c r="A119" s="20" t="s">
        <v>95</v>
      </c>
      <c r="B119" s="75">
        <f>'FY26'!F119</f>
        <v>154500</v>
      </c>
      <c r="C119" s="75">
        <f>'FY27'!F119</f>
        <v>156045</v>
      </c>
      <c r="D119" s="75">
        <f>'FY28'!F119</f>
        <v>157605.45000000001</v>
      </c>
      <c r="E119" s="75">
        <f>'FY29'!F119</f>
        <v>159181.50450000001</v>
      </c>
      <c r="F119" s="75">
        <f>'FY30'!F119</f>
        <v>160773.31954500001</v>
      </c>
      <c r="G119" s="75">
        <f>'FY31'!F119</f>
        <v>162381.05274045002</v>
      </c>
      <c r="I119" s="75">
        <f>'FY26'!L119</f>
        <v>101000</v>
      </c>
      <c r="J119" s="75">
        <f>'FY27'!L119</f>
        <v>102010</v>
      </c>
      <c r="K119" s="75">
        <f>'FY28'!L119</f>
        <v>103030.1</v>
      </c>
      <c r="L119" s="75">
        <f>'FY29'!L119</f>
        <v>104060.40100000001</v>
      </c>
      <c r="M119" s="75">
        <f>'FY30'!L119</f>
        <v>105101.00501000001</v>
      </c>
      <c r="N119" s="75">
        <f>'FY31'!L119</f>
        <v>106152.01506010001</v>
      </c>
      <c r="P119" s="75">
        <f>'FY26'!R119</f>
        <v>317300</v>
      </c>
      <c r="Q119" s="75">
        <f>'FY27'!R119</f>
        <v>320473</v>
      </c>
      <c r="R119" s="75">
        <f>'FY28'!R119</f>
        <v>323677.73</v>
      </c>
      <c r="S119" s="75">
        <f>'FY29'!R119</f>
        <v>326914.5073</v>
      </c>
      <c r="T119" s="75">
        <f>'FY30'!R119</f>
        <v>330183.65237299999</v>
      </c>
      <c r="U119" s="75">
        <f>'FY31'!R119</f>
        <v>333485.48889673001</v>
      </c>
      <c r="W119" s="75">
        <f>'FY26'!X119</f>
        <v>80000</v>
      </c>
      <c r="X119" s="75">
        <f>'FY27'!X119</f>
        <v>80800</v>
      </c>
      <c r="Y119" s="75">
        <f>'FY28'!X119</f>
        <v>81608</v>
      </c>
      <c r="Z119" s="75">
        <f>'FY29'!X119</f>
        <v>82424.08</v>
      </c>
      <c r="AA119" s="75">
        <f>'FY30'!X119</f>
        <v>83248.320800000001</v>
      </c>
      <c r="AB119" s="75">
        <f>'FY31'!X119</f>
        <v>84080.804008000006</v>
      </c>
      <c r="AC119" s="194"/>
      <c r="AD119" s="75">
        <f>'FY27'!AD119</f>
        <v>80000</v>
      </c>
      <c r="AE119" s="75">
        <f>'FY28'!AD119</f>
        <v>80800</v>
      </c>
      <c r="AF119" s="75">
        <f>'FY29'!AD119</f>
        <v>81608</v>
      </c>
      <c r="AG119" s="75">
        <f>'FY30'!AD119</f>
        <v>164848.16</v>
      </c>
      <c r="AH119" s="75">
        <f>'FY31'!AD119</f>
        <v>166496.6416</v>
      </c>
      <c r="AI119" s="194"/>
      <c r="AJ119" s="75">
        <f>'FY27'!AJ119</f>
        <v>0</v>
      </c>
      <c r="AK119" s="75">
        <f>'FY28'!AJ119</f>
        <v>0</v>
      </c>
      <c r="AL119" s="75">
        <f>'FY29'!AJ119</f>
        <v>0</v>
      </c>
      <c r="AM119" s="75">
        <f>'FY30'!AJ119</f>
        <v>82500</v>
      </c>
      <c r="AN119" s="75">
        <f>'FY31'!AJ119</f>
        <v>83325</v>
      </c>
      <c r="AP119" s="75">
        <f>'FY26'!AD119</f>
        <v>300000</v>
      </c>
      <c r="AQ119" s="75">
        <f>'FY27'!AP119</f>
        <v>300000</v>
      </c>
      <c r="AR119" s="75">
        <f>'FY28'!AP119</f>
        <v>300000</v>
      </c>
      <c r="AS119" s="75">
        <f>'FY29'!AP119</f>
        <v>300000</v>
      </c>
      <c r="AT119" s="75">
        <f>'FY30'!AP119</f>
        <v>300000</v>
      </c>
      <c r="AU119" s="75">
        <f>'FY31'!AP119</f>
        <v>300000</v>
      </c>
      <c r="AW119" s="75">
        <f>'FY26'!AJ119</f>
        <v>952800</v>
      </c>
      <c r="AX119" s="75">
        <f>'FY27'!AV119</f>
        <v>1039328</v>
      </c>
      <c r="AY119" s="75">
        <f>'FY28'!AV119</f>
        <v>1046721.28</v>
      </c>
      <c r="AZ119" s="75">
        <f>'FY29'!AV119</f>
        <v>1054188.4928000001</v>
      </c>
      <c r="BA119" s="75">
        <f>'FY30'!AV119</f>
        <v>1226654.4577279999</v>
      </c>
      <c r="BB119" s="75">
        <f>'FY31'!AV119</f>
        <v>1235921.00230528</v>
      </c>
      <c r="BD119" s="166"/>
      <c r="BE119" s="166"/>
    </row>
    <row r="120" spans="1:57" x14ac:dyDescent="0.25">
      <c r="A120" s="21" t="s">
        <v>36</v>
      </c>
      <c r="B120" s="75">
        <f>'FY26'!F120</f>
        <v>85000</v>
      </c>
      <c r="C120" s="75">
        <f>'FY27'!F120</f>
        <v>85850</v>
      </c>
      <c r="D120" s="75">
        <f>'FY28'!F120</f>
        <v>86708.5</v>
      </c>
      <c r="E120" s="75">
        <f>'FY29'!F120</f>
        <v>87575.585000000006</v>
      </c>
      <c r="F120" s="75">
        <f>'FY30'!F120</f>
        <v>88451.340850000008</v>
      </c>
      <c r="G120" s="75">
        <f>'FY31'!F120</f>
        <v>89335.85425850001</v>
      </c>
      <c r="I120" s="75">
        <f>'FY26'!L120</f>
        <v>77250</v>
      </c>
      <c r="J120" s="75">
        <f>'FY27'!L120</f>
        <v>78022.5</v>
      </c>
      <c r="K120" s="75">
        <f>'FY28'!L120</f>
        <v>78802.725000000006</v>
      </c>
      <c r="L120" s="75">
        <f>'FY29'!L120</f>
        <v>79590.752250000005</v>
      </c>
      <c r="M120" s="75">
        <f>'FY30'!L120</f>
        <v>80386.659772500003</v>
      </c>
      <c r="N120" s="75">
        <f>'FY31'!L120</f>
        <v>81190.526370225009</v>
      </c>
      <c r="P120" s="75">
        <f>'FY26'!R120</f>
        <v>77250</v>
      </c>
      <c r="Q120" s="75">
        <f>'FY27'!R120</f>
        <v>78022.5</v>
      </c>
      <c r="R120" s="75">
        <f>'FY28'!R120</f>
        <v>78802.725000000006</v>
      </c>
      <c r="S120" s="75">
        <f>'FY29'!R120</f>
        <v>79590.752250000005</v>
      </c>
      <c r="T120" s="75">
        <f>'FY30'!R120</f>
        <v>80386.659772500003</v>
      </c>
      <c r="U120" s="75">
        <f>'FY31'!R120</f>
        <v>81190.526370225009</v>
      </c>
      <c r="W120" s="75">
        <f>'FY26'!X120</f>
        <v>0</v>
      </c>
      <c r="X120" s="75">
        <f>'FY27'!X120</f>
        <v>0</v>
      </c>
      <c r="Y120" s="75">
        <f>'FY28'!X120</f>
        <v>0</v>
      </c>
      <c r="Z120" s="75">
        <f>'FY29'!X120</f>
        <v>0</v>
      </c>
      <c r="AA120" s="75">
        <f>'FY30'!X120</f>
        <v>0</v>
      </c>
      <c r="AB120" s="75">
        <f>'FY31'!X120</f>
        <v>0</v>
      </c>
      <c r="AC120" s="194"/>
      <c r="AD120" s="75">
        <f>'FY27'!AD120</f>
        <v>0</v>
      </c>
      <c r="AE120" s="75">
        <f>'FY28'!AD120</f>
        <v>0</v>
      </c>
      <c r="AF120" s="75">
        <f>'FY29'!AD120</f>
        <v>0</v>
      </c>
      <c r="AG120" s="75">
        <f>'FY30'!AD120</f>
        <v>0</v>
      </c>
      <c r="AH120" s="75">
        <f>'FY31'!AD120</f>
        <v>0</v>
      </c>
      <c r="AI120" s="194"/>
      <c r="AJ120" s="75">
        <f>'FY27'!AJ120</f>
        <v>0</v>
      </c>
      <c r="AK120" s="75">
        <f>'FY28'!AJ120</f>
        <v>82000</v>
      </c>
      <c r="AL120" s="75">
        <f>'FY29'!AJ120</f>
        <v>82820</v>
      </c>
      <c r="AM120" s="75">
        <f>'FY30'!AJ120</f>
        <v>83648.2</v>
      </c>
      <c r="AN120" s="75">
        <f>'FY31'!AJ120</f>
        <v>84484.682000000001</v>
      </c>
      <c r="AP120" s="75">
        <f>'FY26'!AD120</f>
        <v>185000</v>
      </c>
      <c r="AQ120" s="75">
        <f>'FY27'!AP120</f>
        <v>185000</v>
      </c>
      <c r="AR120" s="75">
        <f>'FY28'!AP120</f>
        <v>185000</v>
      </c>
      <c r="AS120" s="75">
        <f>'FY29'!AP120</f>
        <v>185000</v>
      </c>
      <c r="AT120" s="75">
        <f>'FY30'!AP120</f>
        <v>185000</v>
      </c>
      <c r="AU120" s="75">
        <f>'FY31'!AP120</f>
        <v>185000</v>
      </c>
      <c r="AW120" s="75">
        <f>'FY26'!AJ120</f>
        <v>424500</v>
      </c>
      <c r="AX120" s="75">
        <f>'FY27'!AV120</f>
        <v>426895</v>
      </c>
      <c r="AY120" s="75">
        <f>'FY28'!AV120</f>
        <v>511313.95</v>
      </c>
      <c r="AZ120" s="75">
        <f>'FY29'!AV120</f>
        <v>514577.0895</v>
      </c>
      <c r="BA120" s="75">
        <f>'FY30'!AV120</f>
        <v>517872.86039500003</v>
      </c>
      <c r="BB120" s="75">
        <f>'FY31'!AV120</f>
        <v>521201.58899895003</v>
      </c>
      <c r="BD120" s="166"/>
      <c r="BE120" s="166"/>
    </row>
    <row r="121" spans="1:57" x14ac:dyDescent="0.25">
      <c r="A121" s="21" t="s">
        <v>96</v>
      </c>
      <c r="B121" s="75">
        <f>'FY26'!F121</f>
        <v>3037500</v>
      </c>
      <c r="C121" s="75">
        <f>'FY27'!F121</f>
        <v>3069000</v>
      </c>
      <c r="D121" s="75">
        <f>'FY28'!F121</f>
        <v>3100500</v>
      </c>
      <c r="E121" s="75">
        <f>'FY29'!F121</f>
        <v>3132000</v>
      </c>
      <c r="F121" s="75">
        <f>'FY30'!F121</f>
        <v>3163500</v>
      </c>
      <c r="G121" s="75">
        <f>'FY31'!F121</f>
        <v>3195000</v>
      </c>
      <c r="I121" s="75">
        <f>'FY26'!L121</f>
        <v>2972250</v>
      </c>
      <c r="J121" s="75">
        <f>'FY27'!L121</f>
        <v>3002625</v>
      </c>
      <c r="K121" s="75">
        <f>'FY28'!L121</f>
        <v>3034125</v>
      </c>
      <c r="L121" s="75">
        <f>'FY29'!L121</f>
        <v>3065625</v>
      </c>
      <c r="M121" s="75">
        <f>'FY30'!L121</f>
        <v>3097125</v>
      </c>
      <c r="N121" s="75">
        <f>'FY31'!L121</f>
        <v>3128625</v>
      </c>
      <c r="P121" s="75">
        <f>'FY26'!R121</f>
        <v>6608000</v>
      </c>
      <c r="Q121" s="75">
        <f>'FY27'!R121</f>
        <v>6678000</v>
      </c>
      <c r="R121" s="75">
        <f>'FY28'!R121</f>
        <v>6815400</v>
      </c>
      <c r="S121" s="75">
        <f>'FY29'!R121</f>
        <v>6886100</v>
      </c>
      <c r="T121" s="75">
        <f>'FY30'!R121</f>
        <v>7025600</v>
      </c>
      <c r="U121" s="75">
        <f>'FY31'!R121</f>
        <v>7097000</v>
      </c>
      <c r="W121" s="75">
        <f>'FY26'!X121</f>
        <v>1207500</v>
      </c>
      <c r="X121" s="75">
        <f>'FY27'!X121</f>
        <v>1339750</v>
      </c>
      <c r="Y121" s="75">
        <f>'FY28'!X121</f>
        <v>1357000</v>
      </c>
      <c r="Z121" s="75">
        <f>'FY29'!X121</f>
        <v>1374250</v>
      </c>
      <c r="AA121" s="75">
        <f>'FY30'!X121</f>
        <v>1391500</v>
      </c>
      <c r="AB121" s="75">
        <f>'FY31'!X121</f>
        <v>1405875</v>
      </c>
      <c r="AC121" s="194"/>
      <c r="AD121" s="75">
        <f>'FY27'!AD121</f>
        <v>1054500</v>
      </c>
      <c r="AE121" s="75">
        <f>'FY28'!AD121</f>
        <v>1471350</v>
      </c>
      <c r="AF121" s="75">
        <f>'FY29'!AD121</f>
        <v>2160800</v>
      </c>
      <c r="AG121" s="75">
        <f>'FY30'!AD121</f>
        <v>2718600</v>
      </c>
      <c r="AH121" s="75">
        <f>'FY31'!AD121</f>
        <v>3289000</v>
      </c>
      <c r="AI121" s="194"/>
      <c r="AJ121" s="75">
        <f>'FY27'!AJ121</f>
        <v>0</v>
      </c>
      <c r="AK121" s="75">
        <f>'FY28'!AJ121</f>
        <v>1800000</v>
      </c>
      <c r="AL121" s="75">
        <f>'FY29'!AJ121</f>
        <v>2166000</v>
      </c>
      <c r="AM121" s="75">
        <f>'FY30'!AJ121</f>
        <v>2478950</v>
      </c>
      <c r="AN121" s="75">
        <f>'FY31'!AJ121</f>
        <v>2446500</v>
      </c>
      <c r="AP121" s="75">
        <f>'FY26'!AD121</f>
        <v>0</v>
      </c>
      <c r="AQ121" s="75">
        <f>'FY27'!AP121</f>
        <v>0</v>
      </c>
      <c r="AR121" s="75">
        <f>'FY28'!AP121</f>
        <v>0</v>
      </c>
      <c r="AS121" s="75">
        <f>'FY29'!AP121</f>
        <v>0</v>
      </c>
      <c r="AT121" s="75">
        <f>'FY30'!AP121</f>
        <v>0</v>
      </c>
      <c r="AU121" s="75">
        <f>'FY31'!AP121</f>
        <v>0</v>
      </c>
      <c r="AW121" s="75">
        <f>'FY26'!AJ121</f>
        <v>13825250</v>
      </c>
      <c r="AX121" s="75">
        <f>'FY27'!AV121</f>
        <v>15143875</v>
      </c>
      <c r="AY121" s="75">
        <f>'FY28'!AV121</f>
        <v>17578375</v>
      </c>
      <c r="AZ121" s="75">
        <f>'FY29'!AV121</f>
        <v>18784775</v>
      </c>
      <c r="BA121" s="75">
        <f>'FY30'!AV121</f>
        <v>19875275</v>
      </c>
      <c r="BB121" s="75">
        <f>'FY31'!AV121</f>
        <v>20562000</v>
      </c>
      <c r="BD121" s="166"/>
      <c r="BE121" s="166"/>
    </row>
    <row r="122" spans="1:57" x14ac:dyDescent="0.25">
      <c r="A122" s="21" t="s">
        <v>24</v>
      </c>
      <c r="B122" s="75">
        <f>'FY26'!F122</f>
        <v>337500</v>
      </c>
      <c r="C122" s="75">
        <f>'FY27'!F122</f>
        <v>341000</v>
      </c>
      <c r="D122" s="75">
        <f>'FY28'!F122</f>
        <v>344500</v>
      </c>
      <c r="E122" s="75">
        <f>'FY29'!F122</f>
        <v>348000</v>
      </c>
      <c r="F122" s="75">
        <f>'FY30'!F122</f>
        <v>351500</v>
      </c>
      <c r="G122" s="75">
        <f>'FY31'!F122</f>
        <v>355000</v>
      </c>
      <c r="I122" s="75">
        <f>'FY26'!L122</f>
        <v>264000</v>
      </c>
      <c r="J122" s="75">
        <f>'FY27'!L122</f>
        <v>266900</v>
      </c>
      <c r="K122" s="75">
        <f>'FY28'!L122</f>
        <v>269700</v>
      </c>
      <c r="L122" s="75">
        <f>'FY29'!L122</f>
        <v>272500</v>
      </c>
      <c r="M122" s="75">
        <f>'FY30'!L122</f>
        <v>275300</v>
      </c>
      <c r="N122" s="75">
        <f>'FY31'!L122</f>
        <v>278100</v>
      </c>
      <c r="P122" s="75">
        <f>'FY26'!R122</f>
        <v>858000</v>
      </c>
      <c r="Q122" s="75">
        <f>'FY27'!R122</f>
        <v>933800</v>
      </c>
      <c r="R122" s="75">
        <f>'FY28'!R122</f>
        <v>943600</v>
      </c>
      <c r="S122" s="75">
        <f>'FY29'!R122</f>
        <v>953400</v>
      </c>
      <c r="T122" s="75">
        <f>'FY30'!R122</f>
        <v>963200</v>
      </c>
      <c r="U122" s="75">
        <f>'FY31'!R122</f>
        <v>973000</v>
      </c>
      <c r="W122" s="75">
        <f>'FY26'!X122</f>
        <v>180000</v>
      </c>
      <c r="X122" s="75">
        <f>'FY27'!X122</f>
        <v>182250</v>
      </c>
      <c r="Y122" s="75">
        <f>'FY28'!X122</f>
        <v>184500</v>
      </c>
      <c r="Z122" s="75">
        <f>'FY29'!X122</f>
        <v>186750</v>
      </c>
      <c r="AA122" s="75">
        <f>'FY30'!X122</f>
        <v>189000</v>
      </c>
      <c r="AB122" s="75">
        <f>'FY31'!X122</f>
        <v>190950</v>
      </c>
      <c r="AC122" s="194"/>
      <c r="AD122" s="75">
        <f>'FY27'!AD122</f>
        <v>90000</v>
      </c>
      <c r="AE122" s="75">
        <f>'FY28'!AD122</f>
        <v>182100</v>
      </c>
      <c r="AF122" s="75">
        <f>'FY29'!AD122</f>
        <v>276300</v>
      </c>
      <c r="AG122" s="75">
        <f>'FY30'!AD122</f>
        <v>372600</v>
      </c>
      <c r="AH122" s="75">
        <f>'FY31'!AD122</f>
        <v>439600</v>
      </c>
      <c r="AI122" s="194"/>
      <c r="AJ122" s="75">
        <f>'FY27'!AJ122</f>
        <v>0</v>
      </c>
      <c r="AK122" s="75">
        <f>'FY28'!AJ122</f>
        <v>240000</v>
      </c>
      <c r="AL122" s="75">
        <f>'FY29'!AJ122</f>
        <v>273375</v>
      </c>
      <c r="AM122" s="75">
        <f>'FY30'!AJ122</f>
        <v>307500</v>
      </c>
      <c r="AN122" s="75">
        <f>'FY31'!AJ122</f>
        <v>310750</v>
      </c>
      <c r="AP122" s="75">
        <f>'FY26'!AD122</f>
        <v>0</v>
      </c>
      <c r="AQ122" s="75">
        <f>'FY27'!AP122</f>
        <v>0</v>
      </c>
      <c r="AR122" s="75">
        <f>'FY28'!AP122</f>
        <v>0</v>
      </c>
      <c r="AS122" s="75">
        <f>'FY29'!AP122</f>
        <v>0</v>
      </c>
      <c r="AT122" s="75">
        <f>'FY30'!AP122</f>
        <v>0</v>
      </c>
      <c r="AU122" s="75">
        <f>'FY31'!AP122</f>
        <v>0</v>
      </c>
      <c r="AW122" s="75">
        <f>'FY26'!AJ122</f>
        <v>1639500</v>
      </c>
      <c r="AX122" s="75">
        <f>'FY27'!AV122</f>
        <v>1813950</v>
      </c>
      <c r="AY122" s="75">
        <f>'FY28'!AV122</f>
        <v>2164400</v>
      </c>
      <c r="AZ122" s="75">
        <f>'FY29'!AV122</f>
        <v>2310325</v>
      </c>
      <c r="BA122" s="75">
        <f>'FY30'!AV122</f>
        <v>2459100</v>
      </c>
      <c r="BB122" s="75">
        <f>'FY31'!AV122</f>
        <v>2547400</v>
      </c>
      <c r="BD122" s="166"/>
      <c r="BE122" s="166"/>
    </row>
    <row r="123" spans="1:57" x14ac:dyDescent="0.25">
      <c r="A123" s="21" t="s">
        <v>97</v>
      </c>
      <c r="B123" s="75">
        <f>'FY26'!F123</f>
        <v>483840</v>
      </c>
      <c r="C123" s="75">
        <f>'FY27'!F123</f>
        <v>459000</v>
      </c>
      <c r="D123" s="75">
        <f>'FY28'!F123</f>
        <v>433440</v>
      </c>
      <c r="E123" s="75">
        <f>'FY29'!F123</f>
        <v>469800</v>
      </c>
      <c r="F123" s="75">
        <f>'FY30'!F123</f>
        <v>443520</v>
      </c>
      <c r="G123" s="75">
        <f>'FY31'!F123</f>
        <v>432540</v>
      </c>
      <c r="I123" s="75">
        <f>'FY26'!L123</f>
        <v>498960</v>
      </c>
      <c r="J123" s="75">
        <f>'FY27'!L123</f>
        <v>474300</v>
      </c>
      <c r="K123" s="75">
        <f>'FY28'!L123</f>
        <v>448920</v>
      </c>
      <c r="L123" s="75">
        <f>'FY29'!L123</f>
        <v>485460</v>
      </c>
      <c r="M123" s="75">
        <f>'FY30'!L123</f>
        <v>459360</v>
      </c>
      <c r="N123" s="75">
        <f>'FY31'!L123</f>
        <v>448560</v>
      </c>
      <c r="P123" s="75">
        <f>'FY26'!R123</f>
        <v>786240</v>
      </c>
      <c r="Q123" s="75">
        <f>'FY27'!R123</f>
        <v>795600</v>
      </c>
      <c r="R123" s="75">
        <f>'FY28'!R123</f>
        <v>774000</v>
      </c>
      <c r="S123" s="75">
        <f>'FY29'!R123</f>
        <v>814320</v>
      </c>
      <c r="T123" s="75">
        <f>'FY30'!R123</f>
        <v>823680</v>
      </c>
      <c r="U123" s="75">
        <f>'FY31'!R123</f>
        <v>817020</v>
      </c>
      <c r="W123" s="75">
        <f>'FY26'!X123</f>
        <v>236800</v>
      </c>
      <c r="X123" s="75">
        <f>'FY27'!X123</f>
        <v>194805</v>
      </c>
      <c r="Y123" s="75">
        <f>'FY28'!X123</f>
        <v>197210</v>
      </c>
      <c r="Z123" s="75">
        <f>'FY29'!X123</f>
        <v>199615</v>
      </c>
      <c r="AA123" s="75">
        <f>'FY30'!X123</f>
        <v>202020</v>
      </c>
      <c r="AB123" s="75">
        <f>'FY31'!X123</f>
        <v>204425</v>
      </c>
      <c r="AC123" s="194"/>
      <c r="AD123" s="75">
        <f>'FY27'!AD123</f>
        <v>93240</v>
      </c>
      <c r="AE123" s="75">
        <f>'FY28'!AD123</f>
        <v>141525</v>
      </c>
      <c r="AF123" s="75">
        <f>'FY29'!AD123</f>
        <v>254560</v>
      </c>
      <c r="AG123" s="75">
        <f>'FY30'!AD123</f>
        <v>305805</v>
      </c>
      <c r="AH123" s="75">
        <f>'FY31'!AD123</f>
        <v>390720</v>
      </c>
      <c r="AI123" s="194"/>
      <c r="AJ123" s="75">
        <f>'FY27'!AJ123</f>
        <v>0</v>
      </c>
      <c r="AK123" s="75">
        <f>'FY28'!AJ123</f>
        <v>149850</v>
      </c>
      <c r="AL123" s="75">
        <f>'FY29'!AJ123</f>
        <v>303400</v>
      </c>
      <c r="AM123" s="75">
        <f>'FY30'!AJ123</f>
        <v>307100</v>
      </c>
      <c r="AN123" s="75">
        <f>'FY31'!AJ123</f>
        <v>341880</v>
      </c>
      <c r="AP123" s="75">
        <f>'FY26'!AD123</f>
        <v>680200</v>
      </c>
      <c r="AQ123" s="75">
        <f>'FY27'!AP123</f>
        <v>681002</v>
      </c>
      <c r="AR123" s="75">
        <f>'FY28'!AP123</f>
        <v>681812.02</v>
      </c>
      <c r="AS123" s="75">
        <f>'FY29'!AP123</f>
        <v>646363.54500000004</v>
      </c>
      <c r="AT123" s="75">
        <f>'FY30'!AP123</f>
        <v>646827.18044999999</v>
      </c>
      <c r="AU123" s="75">
        <f>'FY31'!AP123</f>
        <v>647295.45225450001</v>
      </c>
      <c r="AW123" s="75">
        <f>'FY26'!AJ123</f>
        <v>2686040</v>
      </c>
      <c r="AX123" s="75">
        <f>'FY27'!AV123</f>
        <v>2697947</v>
      </c>
      <c r="AY123" s="75">
        <f>'FY28'!AV123</f>
        <v>2826757.02</v>
      </c>
      <c r="AZ123" s="75">
        <f>'FY29'!AV123</f>
        <v>3173518.5449999999</v>
      </c>
      <c r="BA123" s="75">
        <f>'FY30'!AV123</f>
        <v>3188312.1804499999</v>
      </c>
      <c r="BB123" s="75">
        <f>'FY31'!AV123</f>
        <v>3282440.4522545002</v>
      </c>
      <c r="BD123" s="166"/>
      <c r="BE123" s="166"/>
    </row>
    <row r="124" spans="1:57" x14ac:dyDescent="0.25">
      <c r="A124" s="22" t="s">
        <v>54</v>
      </c>
      <c r="B124" s="75">
        <f>'FY26'!F124</f>
        <v>63000</v>
      </c>
      <c r="C124" s="75">
        <f>'FY27'!F124</f>
        <v>64800</v>
      </c>
      <c r="D124" s="75">
        <f>'FY28'!F124</f>
        <v>66600</v>
      </c>
      <c r="E124" s="75">
        <f>'FY29'!F124</f>
        <v>68400</v>
      </c>
      <c r="F124" s="75">
        <f>'FY30'!F124</f>
        <v>70200</v>
      </c>
      <c r="G124" s="75">
        <f>'FY31'!F124</f>
        <v>72000</v>
      </c>
      <c r="I124" s="75">
        <f>'FY26'!L124</f>
        <v>31500</v>
      </c>
      <c r="J124" s="75">
        <f>'FY27'!L124</f>
        <v>32400</v>
      </c>
      <c r="K124" s="75">
        <f>'FY28'!L124</f>
        <v>33300</v>
      </c>
      <c r="L124" s="75">
        <f>'FY29'!L124</f>
        <v>34200</v>
      </c>
      <c r="M124" s="75">
        <f>'FY30'!L124</f>
        <v>35100</v>
      </c>
      <c r="N124" s="75">
        <f>'FY31'!L124</f>
        <v>36000</v>
      </c>
      <c r="P124" s="75">
        <f>'FY26'!R124</f>
        <v>94500</v>
      </c>
      <c r="Q124" s="75">
        <f>'FY27'!R124</f>
        <v>97200</v>
      </c>
      <c r="R124" s="75">
        <f>'FY28'!R124</f>
        <v>99900</v>
      </c>
      <c r="S124" s="75">
        <f>'FY29'!R124</f>
        <v>102600</v>
      </c>
      <c r="T124" s="75">
        <f>'FY30'!R124</f>
        <v>105300</v>
      </c>
      <c r="U124" s="75">
        <f>'FY31'!R124</f>
        <v>108000</v>
      </c>
      <c r="W124" s="75">
        <f>'FY26'!X124</f>
        <v>0</v>
      </c>
      <c r="X124" s="75">
        <f>'FY27'!X124</f>
        <v>0</v>
      </c>
      <c r="Y124" s="75">
        <f>'FY28'!X124</f>
        <v>0</v>
      </c>
      <c r="Z124" s="75">
        <f>'FY29'!X124</f>
        <v>0</v>
      </c>
      <c r="AA124" s="75">
        <f>'FY30'!X124</f>
        <v>0</v>
      </c>
      <c r="AB124" s="75">
        <f>'FY31'!X124</f>
        <v>0</v>
      </c>
      <c r="AC124" s="194"/>
      <c r="AD124" s="75">
        <f>'FY27'!AD124</f>
        <v>0</v>
      </c>
      <c r="AE124" s="75">
        <f>'FY28'!AD124</f>
        <v>0</v>
      </c>
      <c r="AF124" s="75">
        <f>'FY29'!AD124</f>
        <v>0</v>
      </c>
      <c r="AG124" s="75">
        <f>'FY30'!AD124</f>
        <v>0</v>
      </c>
      <c r="AH124" s="75">
        <f>'FY31'!AD124</f>
        <v>0</v>
      </c>
      <c r="AI124" s="194"/>
      <c r="AJ124" s="75">
        <f>'FY27'!AJ124</f>
        <v>0</v>
      </c>
      <c r="AK124" s="75">
        <f>'FY28'!AJ124</f>
        <v>0</v>
      </c>
      <c r="AL124" s="75">
        <f>'FY29'!AJ124</f>
        <v>0</v>
      </c>
      <c r="AM124" s="75">
        <f>'FY30'!AJ124</f>
        <v>0</v>
      </c>
      <c r="AN124" s="75">
        <f>'FY31'!AJ124</f>
        <v>0</v>
      </c>
      <c r="AP124" s="75">
        <f>'FY26'!AD124</f>
        <v>0</v>
      </c>
      <c r="AQ124" s="75">
        <f>'FY27'!AP124</f>
        <v>0</v>
      </c>
      <c r="AR124" s="75">
        <f>'FY28'!AP124</f>
        <v>0</v>
      </c>
      <c r="AS124" s="75">
        <f>'FY29'!AP124</f>
        <v>0</v>
      </c>
      <c r="AT124" s="75">
        <f>'FY30'!AP124</f>
        <v>0</v>
      </c>
      <c r="AU124" s="75">
        <f>'FY31'!AP124</f>
        <v>0</v>
      </c>
      <c r="AW124" s="75">
        <f>'FY26'!AJ124</f>
        <v>189000</v>
      </c>
      <c r="AX124" s="75">
        <f>'FY27'!AV124</f>
        <v>194400</v>
      </c>
      <c r="AY124" s="75">
        <f>'FY28'!AV124</f>
        <v>199800</v>
      </c>
      <c r="AZ124" s="75">
        <f>'FY29'!AV124</f>
        <v>205200</v>
      </c>
      <c r="BA124" s="75">
        <f>'FY30'!AV124</f>
        <v>210600</v>
      </c>
      <c r="BB124" s="75">
        <f>'FY31'!AV124</f>
        <v>216000</v>
      </c>
      <c r="BD124" s="166"/>
      <c r="BE124" s="166"/>
    </row>
    <row r="125" spans="1:57" x14ac:dyDescent="0.25">
      <c r="A125" s="29"/>
      <c r="B125" s="76">
        <f>'FY26'!F125</f>
        <v>4161340</v>
      </c>
      <c r="C125" s="76">
        <f>'FY27'!F125</f>
        <v>4175695</v>
      </c>
      <c r="D125" s="76">
        <f>'FY28'!F125</f>
        <v>4189353.95</v>
      </c>
      <c r="E125" s="76">
        <f>'FY29'!F125</f>
        <v>4264957.0894999998</v>
      </c>
      <c r="F125" s="76">
        <f>'FY30'!F125</f>
        <v>4277944.6603950001</v>
      </c>
      <c r="G125" s="76">
        <f>'FY31'!F125</f>
        <v>4306256.9069989501</v>
      </c>
      <c r="I125" s="76">
        <f>'FY26'!L125</f>
        <v>3944960</v>
      </c>
      <c r="J125" s="76">
        <f>'FY27'!L125</f>
        <v>3956257.5</v>
      </c>
      <c r="K125" s="76">
        <f>'FY28'!L125</f>
        <v>3967877.8250000002</v>
      </c>
      <c r="L125" s="76">
        <f>'FY29'!L125</f>
        <v>4041436.15325</v>
      </c>
      <c r="M125" s="76">
        <f>'FY30'!L125</f>
        <v>4052372.6647824999</v>
      </c>
      <c r="N125" s="76">
        <f>'FY31'!L125</f>
        <v>4078627.5414303252</v>
      </c>
      <c r="P125" s="76">
        <f>'FY26'!R125</f>
        <v>8741290</v>
      </c>
      <c r="Q125" s="76">
        <f>'FY27'!R125</f>
        <v>8903095.5</v>
      </c>
      <c r="R125" s="76">
        <f>'FY28'!R125</f>
        <v>9035380.4550000001</v>
      </c>
      <c r="S125" s="76">
        <f>'FY29'!R125</f>
        <v>9162925.2595499996</v>
      </c>
      <c r="T125" s="76">
        <f>'FY30'!R125</f>
        <v>9328350.3121454995</v>
      </c>
      <c r="U125" s="76">
        <f>'FY31'!R125</f>
        <v>9409696.0152669549</v>
      </c>
      <c r="W125" s="76">
        <f>'FY26'!X125</f>
        <v>1704300</v>
      </c>
      <c r="X125" s="76">
        <f>'FY27'!X125</f>
        <v>1797605</v>
      </c>
      <c r="Y125" s="76">
        <f>'FY28'!X125</f>
        <v>1820318</v>
      </c>
      <c r="Z125" s="76">
        <f>'FY29'!X125</f>
        <v>1843039.08</v>
      </c>
      <c r="AA125" s="76">
        <f>'FY30'!X125</f>
        <v>1865768.3208000001</v>
      </c>
      <c r="AB125" s="76">
        <f>'FY31'!X125</f>
        <v>1885330.8040080001</v>
      </c>
      <c r="AC125" s="199"/>
      <c r="AD125" s="76">
        <f>'FY27'!AD125</f>
        <v>1317740</v>
      </c>
      <c r="AE125" s="76">
        <f>'FY28'!AD125</f>
        <v>1875775</v>
      </c>
      <c r="AF125" s="76">
        <f>'FY29'!AD125</f>
        <v>2773268</v>
      </c>
      <c r="AG125" s="76">
        <f>'FY30'!AD125</f>
        <v>3561853.16</v>
      </c>
      <c r="AH125" s="76">
        <f>'FY31'!AD125</f>
        <v>4285816.6415999997</v>
      </c>
      <c r="AI125" s="199"/>
      <c r="AJ125" s="76">
        <f>'FY27'!AJ125</f>
        <v>0</v>
      </c>
      <c r="AK125" s="76">
        <f>'FY28'!AJ125</f>
        <v>2271850</v>
      </c>
      <c r="AL125" s="76">
        <f>'FY29'!AJ125</f>
        <v>2825595</v>
      </c>
      <c r="AM125" s="76">
        <f>'FY30'!AJ125</f>
        <v>3259698.2</v>
      </c>
      <c r="AN125" s="76">
        <f>'FY31'!AJ125</f>
        <v>3266939.682</v>
      </c>
      <c r="AP125" s="76">
        <f>'FY26'!AD125</f>
        <v>1165200</v>
      </c>
      <c r="AQ125" s="76">
        <f>'FY27'!AP125</f>
        <v>1166002</v>
      </c>
      <c r="AR125" s="76">
        <f>'FY28'!AP125</f>
        <v>1166812.02</v>
      </c>
      <c r="AS125" s="76">
        <f>'FY29'!AP125</f>
        <v>1131363.5449999999</v>
      </c>
      <c r="AT125" s="76">
        <f>'FY30'!AP125</f>
        <v>1131827.1804499999</v>
      </c>
      <c r="AU125" s="76">
        <f>'FY31'!AP125</f>
        <v>1132295.4522545</v>
      </c>
      <c r="AW125" s="76">
        <f>'FY26'!AJ125</f>
        <v>19717090</v>
      </c>
      <c r="AX125" s="76">
        <f>'FY27'!AV125</f>
        <v>21316395</v>
      </c>
      <c r="AY125" s="76">
        <f>'FY28'!AV125</f>
        <v>24327367.25</v>
      </c>
      <c r="AZ125" s="76">
        <f>'FY29'!AV125</f>
        <v>26042584.127300002</v>
      </c>
      <c r="BA125" s="76">
        <f>'FY30'!AV125</f>
        <v>27477814.498573001</v>
      </c>
      <c r="BB125" s="76">
        <f>'FY31'!AV125</f>
        <v>28364963.043558732</v>
      </c>
      <c r="BD125" s="166"/>
      <c r="BE125" s="166"/>
    </row>
    <row r="126" spans="1:57" x14ac:dyDescent="0.25">
      <c r="A126" s="20" t="s">
        <v>285</v>
      </c>
      <c r="B126" s="75">
        <f>'FY26'!F126</f>
        <v>1529292.45</v>
      </c>
      <c r="C126" s="75">
        <f>'FY27'!F126</f>
        <v>1555446.3875</v>
      </c>
      <c r="D126" s="75">
        <f>'FY28'!F126</f>
        <v>1581481.1161250002</v>
      </c>
      <c r="E126" s="75">
        <f>'FY29'!F126</f>
        <v>1631346.0867337498</v>
      </c>
      <c r="F126" s="75">
        <f>'FY30'!F126</f>
        <v>1657703.5559030627</v>
      </c>
      <c r="G126" s="75">
        <f>'FY31'!F126</f>
        <v>1690205.8359970879</v>
      </c>
      <c r="I126" s="75">
        <f>'FY26'!L126</f>
        <v>1449772.8</v>
      </c>
      <c r="J126" s="75">
        <f>'FY27'!L126</f>
        <v>1473705.91875</v>
      </c>
      <c r="K126" s="75">
        <f>'FY28'!L126</f>
        <v>1497873.8789375001</v>
      </c>
      <c r="L126" s="75">
        <f>'FY29'!L126</f>
        <v>1545849.3286181251</v>
      </c>
      <c r="M126" s="75">
        <f>'FY30'!L126</f>
        <v>1570294.4076032187</v>
      </c>
      <c r="N126" s="75">
        <f>'FY31'!L126</f>
        <v>1600861.3100114027</v>
      </c>
      <c r="P126" s="75">
        <f>'FY26'!R126</f>
        <v>3212424.0750000002</v>
      </c>
      <c r="Q126" s="75">
        <f>'FY27'!R126</f>
        <v>3316403.07375</v>
      </c>
      <c r="R126" s="75">
        <f>'FY28'!R126</f>
        <v>3410856.1217625001</v>
      </c>
      <c r="S126" s="75">
        <f>'FY29'!R126</f>
        <v>3504818.9117778749</v>
      </c>
      <c r="T126" s="75">
        <f>'FY30'!R126</f>
        <v>3614735.7459563813</v>
      </c>
      <c r="U126" s="75">
        <f>'FY31'!R126</f>
        <v>3693305.68599228</v>
      </c>
      <c r="W126" s="75">
        <f>'FY26'!X126</f>
        <v>626330.25</v>
      </c>
      <c r="X126" s="75">
        <f>'FY27'!X126</f>
        <v>669607.86249999993</v>
      </c>
      <c r="Y126" s="75">
        <f>'FY28'!X126</f>
        <v>687170.04500000004</v>
      </c>
      <c r="Z126" s="75">
        <f>'FY29'!X126</f>
        <v>704962.44810000004</v>
      </c>
      <c r="AA126" s="75">
        <f>'FY30'!X126</f>
        <v>722985.22431000008</v>
      </c>
      <c r="AB126" s="75">
        <f>'FY31'!X126</f>
        <v>739992.34057314007</v>
      </c>
      <c r="AC126" s="194"/>
      <c r="AD126" s="75">
        <f>'FY27'!AD126</f>
        <v>490858.14999999997</v>
      </c>
      <c r="AE126" s="75">
        <f>'FY28'!AD126</f>
        <v>708105.0625</v>
      </c>
      <c r="AF126" s="75">
        <f>'FY29'!AD126</f>
        <v>1060775.01</v>
      </c>
      <c r="AG126" s="75">
        <f>'FY30'!AD126</f>
        <v>1380218.0995</v>
      </c>
      <c r="AH126" s="75">
        <f>'FY31'!AD126</f>
        <v>1682183.0318280002</v>
      </c>
      <c r="AI126" s="194"/>
      <c r="AJ126" s="75">
        <f>'FY27'!AJ126</f>
        <v>0</v>
      </c>
      <c r="AK126" s="75">
        <f>'FY28'!AJ126</f>
        <v>846264.125</v>
      </c>
      <c r="AL126" s="75">
        <f>'FY29'!AJ126</f>
        <v>1080790.0874999999</v>
      </c>
      <c r="AM126" s="75">
        <f>'FY30'!AJ126</f>
        <v>1263133.0525</v>
      </c>
      <c r="AN126" s="75">
        <f>'FY31'!AJ126</f>
        <v>1282273.825185</v>
      </c>
      <c r="AP126" s="75">
        <f>'FY26'!AD126</f>
        <v>428211</v>
      </c>
      <c r="AQ126" s="75">
        <f>'FY27'!AP126</f>
        <v>428910.745</v>
      </c>
      <c r="AR126" s="75">
        <f>'FY28'!AP126</f>
        <v>429621.53755000001</v>
      </c>
      <c r="AS126" s="75">
        <f>'FY29'!AP126</f>
        <v>416471.55596249999</v>
      </c>
      <c r="AT126" s="75">
        <f>'FY30'!AP126</f>
        <v>416883.03242437501</v>
      </c>
      <c r="AU126" s="75">
        <f>'FY31'!AP126</f>
        <v>444425.96500989125</v>
      </c>
      <c r="AW126" s="75">
        <f>'FY26'!AJ126</f>
        <v>7246030.5750000002</v>
      </c>
      <c r="AX126" s="75">
        <f>'FY27'!AV126</f>
        <v>7934932.1375000002</v>
      </c>
      <c r="AY126" s="75">
        <f>'FY28'!AV126</f>
        <v>9161371.8868749999</v>
      </c>
      <c r="AZ126" s="75">
        <f>'FY29'!AV126</f>
        <v>9945013.4286922496</v>
      </c>
      <c r="BA126" s="75">
        <f>'FY30'!AV126</f>
        <v>10625953.118197039</v>
      </c>
      <c r="BB126" s="75">
        <f>'FY31'!AV126</f>
        <v>11133247.994596802</v>
      </c>
      <c r="BD126" s="166"/>
      <c r="BE126" s="166"/>
    </row>
    <row r="127" spans="1:57" x14ac:dyDescent="0.25">
      <c r="A127" s="21" t="s">
        <v>90</v>
      </c>
      <c r="B127" s="75">
        <f>'FY26'!F127</f>
        <v>705056.92500000005</v>
      </c>
      <c r="C127" s="75">
        <f>'FY27'!F127</f>
        <v>749876.52500000002</v>
      </c>
      <c r="D127" s="75">
        <f>'FY28'!F127</f>
        <v>798109.55275000003</v>
      </c>
      <c r="E127" s="75">
        <f>'FY29'!F127</f>
        <v>874012.06902749999</v>
      </c>
      <c r="F127" s="75">
        <f>'FY30'!F127</f>
        <v>919823.63471777504</v>
      </c>
      <c r="G127" s="75">
        <f>'FY31'!F127</f>
        <v>973280.81081495271</v>
      </c>
      <c r="I127" s="75">
        <f>'FY26'!L127</f>
        <v>685857.01250000007</v>
      </c>
      <c r="J127" s="75">
        <f>'FY27'!L127</f>
        <v>731758.52500000002</v>
      </c>
      <c r="K127" s="75">
        <f>'FY28'!L127</f>
        <v>779061.939625</v>
      </c>
      <c r="L127" s="75">
        <f>'FY29'!L127</f>
        <v>853928.37689624995</v>
      </c>
      <c r="M127" s="75">
        <f>'FY30'!L127</f>
        <v>898818.89491521253</v>
      </c>
      <c r="N127" s="75">
        <f>'FY31'!L127</f>
        <v>951314.23936436465</v>
      </c>
      <c r="P127" s="75">
        <f>'FY26'!R127</f>
        <v>1480897.0499999998</v>
      </c>
      <c r="Q127" s="75">
        <f>'FY27'!R127</f>
        <v>1600209.2974999999</v>
      </c>
      <c r="R127" s="75">
        <f>'FY28'!R127</f>
        <v>1727057.745475</v>
      </c>
      <c r="S127" s="75">
        <f>'FY29'!R127</f>
        <v>1877696.8866797499</v>
      </c>
      <c r="T127" s="75">
        <f>'FY30'!R127</f>
        <v>2016474.3890465475</v>
      </c>
      <c r="U127" s="75">
        <f>'FY31'!R127</f>
        <v>2141480.5706870132</v>
      </c>
      <c r="W127" s="75">
        <f>'FY26'!X127</f>
        <v>289731</v>
      </c>
      <c r="X127" s="75">
        <f>'FY27'!X127</f>
        <v>344803.35000000003</v>
      </c>
      <c r="Y127" s="75">
        <f>'FY28'!X127</f>
        <v>372367.31</v>
      </c>
      <c r="Z127" s="75">
        <f>'FY29'!X127</f>
        <v>402651.88359999994</v>
      </c>
      <c r="AA127" s="75">
        <f>'FY30'!X127</f>
        <v>430389.07443600002</v>
      </c>
      <c r="AB127" s="75">
        <f>'FY31'!X127</f>
        <v>465342.13618035999</v>
      </c>
      <c r="AC127" s="194"/>
      <c r="AD127" s="75">
        <f>'FY27'!AD127</f>
        <v>248400.3</v>
      </c>
      <c r="AE127" s="75">
        <f>'FY28'!AD127</f>
        <v>379241.875</v>
      </c>
      <c r="AF127" s="75">
        <f>'FY29'!AD127</f>
        <v>606879.93499999994</v>
      </c>
      <c r="AG127" s="75">
        <f>'FY30'!AD127</f>
        <v>848471.45469999989</v>
      </c>
      <c r="AH127" s="75">
        <f>'FY31'!AD127</f>
        <v>1082893.748872</v>
      </c>
      <c r="AI127" s="194"/>
      <c r="AJ127" s="75">
        <f>'FY27'!AJ127</f>
        <v>0</v>
      </c>
      <c r="AK127" s="75">
        <f>'FY28'!AJ127</f>
        <v>448890.25</v>
      </c>
      <c r="AL127" s="75">
        <f>'FY29'!AJ127</f>
        <v>637856.9</v>
      </c>
      <c r="AM127" s="75">
        <f>'FY30'!AJ127</f>
        <v>796927.66899999999</v>
      </c>
      <c r="AN127" s="75">
        <f>'FY31'!AJ127</f>
        <v>864968.28568999993</v>
      </c>
      <c r="AP127" s="75">
        <f>'FY26'!AD127</f>
        <v>175582</v>
      </c>
      <c r="AQ127" s="75">
        <f>'FY27'!AP127</f>
        <v>176520.34</v>
      </c>
      <c r="AR127" s="75">
        <f>'FY28'!AP127</f>
        <v>177476.1636</v>
      </c>
      <c r="AS127" s="75">
        <f>'FY29'!AP127</f>
        <v>171559.07355</v>
      </c>
      <c r="AT127" s="75">
        <f>'FY30'!AP127</f>
        <v>172115.43609</v>
      </c>
      <c r="AU127" s="75">
        <f>'FY31'!AP127</f>
        <v>199807.04497344501</v>
      </c>
      <c r="AW127" s="75">
        <f>'FY26'!AJ127</f>
        <v>3337123.9874999998</v>
      </c>
      <c r="AX127" s="75">
        <f>'FY27'!AV127</f>
        <v>3851568.3374999999</v>
      </c>
      <c r="AY127" s="75">
        <f>'FY28'!AV127</f>
        <v>4682204.8364500003</v>
      </c>
      <c r="AZ127" s="75">
        <f>'FY29'!AV127</f>
        <v>5424585.1247535003</v>
      </c>
      <c r="BA127" s="75">
        <f>'FY30'!AV127</f>
        <v>6083020.5529055353</v>
      </c>
      <c r="BB127" s="75">
        <f>'FY31'!AV127</f>
        <v>6679086.8365821354</v>
      </c>
      <c r="BD127" s="166"/>
      <c r="BE127" s="166"/>
    </row>
    <row r="128" spans="1:57" x14ac:dyDescent="0.25">
      <c r="A128" s="21" t="s">
        <v>91</v>
      </c>
      <c r="B128" s="75">
        <f>'FY26'!F128</f>
        <v>90500</v>
      </c>
      <c r="C128" s="75">
        <f>'FY27'!F128</f>
        <v>90000</v>
      </c>
      <c r="D128" s="75">
        <f>'FY28'!F128</f>
        <v>89500</v>
      </c>
      <c r="E128" s="75">
        <f>'FY29'!F128</f>
        <v>90000</v>
      </c>
      <c r="F128" s="75">
        <f>'FY30'!F128</f>
        <v>89500</v>
      </c>
      <c r="G128" s="75">
        <f>'FY31'!F128</f>
        <v>89250</v>
      </c>
      <c r="I128" s="75">
        <f>'FY26'!L128</f>
        <v>87500</v>
      </c>
      <c r="J128" s="75">
        <f>'FY27'!L128</f>
        <v>87000</v>
      </c>
      <c r="K128" s="75">
        <f>'FY28'!L128</f>
        <v>86500</v>
      </c>
      <c r="L128" s="75">
        <f>'FY29'!L128</f>
        <v>87000</v>
      </c>
      <c r="M128" s="75">
        <f>'FY30'!L128</f>
        <v>86500</v>
      </c>
      <c r="N128" s="75">
        <f>'FY31'!L128</f>
        <v>86250</v>
      </c>
      <c r="P128" s="75">
        <f>'FY26'!R128</f>
        <v>178500</v>
      </c>
      <c r="Q128" s="75">
        <f>'FY27'!R128</f>
        <v>179750</v>
      </c>
      <c r="R128" s="75">
        <f>'FY28'!R128</f>
        <v>180500</v>
      </c>
      <c r="S128" s="75">
        <f>'FY29'!R128</f>
        <v>181000</v>
      </c>
      <c r="T128" s="75">
        <f>'FY30'!R128</f>
        <v>182250</v>
      </c>
      <c r="U128" s="75">
        <f>'FY31'!R128</f>
        <v>182000</v>
      </c>
      <c r="W128" s="75">
        <f>'FY26'!X128</f>
        <v>1000</v>
      </c>
      <c r="X128" s="75">
        <f>'FY27'!X128</f>
        <v>40250</v>
      </c>
      <c r="Y128" s="75">
        <f>'FY28'!X128</f>
        <v>40250</v>
      </c>
      <c r="Z128" s="75">
        <f>'FY29'!X128</f>
        <v>40250</v>
      </c>
      <c r="AA128" s="75">
        <f>'FY30'!X128</f>
        <v>40250</v>
      </c>
      <c r="AB128" s="75">
        <f>'FY31'!X128</f>
        <v>50250</v>
      </c>
      <c r="AC128" s="194"/>
      <c r="AD128" s="75">
        <f>'FY27'!AD128</f>
        <v>10850</v>
      </c>
      <c r="AE128" s="75">
        <f>'FY28'!AD128</f>
        <v>42375</v>
      </c>
      <c r="AF128" s="75">
        <f>'FY29'!AD128</f>
        <v>60375</v>
      </c>
      <c r="AG128" s="75">
        <f>'FY30'!AD128</f>
        <v>79750</v>
      </c>
      <c r="AH128" s="75">
        <f>'FY31'!AD128</f>
        <v>97500</v>
      </c>
      <c r="AI128" s="194"/>
      <c r="AJ128" s="75">
        <f>'FY27'!AJ128</f>
        <v>0</v>
      </c>
      <c r="AK128" s="75">
        <f>'FY28'!AJ128</f>
        <v>26000</v>
      </c>
      <c r="AL128" s="75">
        <f>'FY29'!AJ128</f>
        <v>72625</v>
      </c>
      <c r="AM128" s="75">
        <f>'FY30'!AJ128</f>
        <v>81000</v>
      </c>
      <c r="AN128" s="75">
        <f>'FY31'!AJ128</f>
        <v>80250</v>
      </c>
      <c r="AP128" s="75">
        <f>'FY26'!AD128</f>
        <v>18500</v>
      </c>
      <c r="AQ128" s="75">
        <f>'FY27'!AP128</f>
        <v>18500</v>
      </c>
      <c r="AR128" s="75">
        <f>'FY28'!AP128</f>
        <v>18500</v>
      </c>
      <c r="AS128" s="75">
        <f>'FY29'!AP128</f>
        <v>18000</v>
      </c>
      <c r="AT128" s="75">
        <f>'FY30'!AP128</f>
        <v>18000</v>
      </c>
      <c r="AU128" s="75">
        <f>'FY31'!AP128</f>
        <v>18000</v>
      </c>
      <c r="AW128" s="75">
        <f>'FY26'!AJ128</f>
        <v>376000</v>
      </c>
      <c r="AX128" s="75">
        <f>'FY27'!AV128</f>
        <v>426350</v>
      </c>
      <c r="AY128" s="75">
        <f>'FY28'!AV128</f>
        <v>483625</v>
      </c>
      <c r="AZ128" s="75">
        <f>'FY29'!AV128</f>
        <v>549250</v>
      </c>
      <c r="BA128" s="75">
        <f>'FY30'!AV128</f>
        <v>577250</v>
      </c>
      <c r="BB128" s="75">
        <f>'FY31'!AV128</f>
        <v>603500</v>
      </c>
      <c r="BD128" s="166"/>
      <c r="BE128" s="166"/>
    </row>
    <row r="129" spans="1:57" x14ac:dyDescent="0.25">
      <c r="A129" s="21" t="s">
        <v>92</v>
      </c>
      <c r="B129" s="75">
        <f>'FY26'!F129</f>
        <v>17250</v>
      </c>
      <c r="C129" s="75">
        <f>'FY27'!F129</f>
        <v>17000</v>
      </c>
      <c r="D129" s="75">
        <f>'FY28'!F129</f>
        <v>16750</v>
      </c>
      <c r="E129" s="75">
        <f>'FY29'!F129</f>
        <v>17000</v>
      </c>
      <c r="F129" s="75">
        <f>'FY30'!F129</f>
        <v>16750</v>
      </c>
      <c r="G129" s="75">
        <f>'FY31'!F129</f>
        <v>16625</v>
      </c>
      <c r="I129" s="75">
        <f>'FY26'!L129</f>
        <v>17000</v>
      </c>
      <c r="J129" s="75">
        <f>'FY27'!L129</f>
        <v>16750</v>
      </c>
      <c r="K129" s="75">
        <f>'FY28'!L129</f>
        <v>16500</v>
      </c>
      <c r="L129" s="75">
        <f>'FY29'!L129</f>
        <v>16750</v>
      </c>
      <c r="M129" s="75">
        <f>'FY30'!L129</f>
        <v>16500</v>
      </c>
      <c r="N129" s="75">
        <f>'FY31'!L129</f>
        <v>16375</v>
      </c>
      <c r="P129" s="75">
        <f>'FY26'!R129</f>
        <v>36000</v>
      </c>
      <c r="Q129" s="75">
        <f>'FY27'!R129</f>
        <v>36250</v>
      </c>
      <c r="R129" s="75">
        <f>'FY28'!R129</f>
        <v>36250</v>
      </c>
      <c r="S129" s="75">
        <f>'FY29'!R129</f>
        <v>36500</v>
      </c>
      <c r="T129" s="75">
        <f>'FY30'!R129</f>
        <v>36750</v>
      </c>
      <c r="U129" s="75">
        <f>'FY31'!R129</f>
        <v>36625</v>
      </c>
      <c r="W129" s="75">
        <f>'FY26'!X129</f>
        <v>8250</v>
      </c>
      <c r="X129" s="75">
        <f>'FY27'!X129</f>
        <v>8375</v>
      </c>
      <c r="Y129" s="75">
        <f>'FY28'!X129</f>
        <v>8375</v>
      </c>
      <c r="Z129" s="75">
        <f>'FY29'!X129</f>
        <v>8375</v>
      </c>
      <c r="AA129" s="75">
        <f>'FY30'!X129</f>
        <v>8375</v>
      </c>
      <c r="AB129" s="75">
        <f>'FY31'!X129</f>
        <v>8375</v>
      </c>
      <c r="AC129" s="194"/>
      <c r="AD129" s="75">
        <f>'FY27'!AD129</f>
        <v>6000</v>
      </c>
      <c r="AE129" s="75">
        <f>'FY28'!AD129</f>
        <v>8500</v>
      </c>
      <c r="AF129" s="75">
        <f>'FY29'!AD129</f>
        <v>12625</v>
      </c>
      <c r="AG129" s="75">
        <f>'FY30'!AD129</f>
        <v>15875</v>
      </c>
      <c r="AH129" s="75">
        <f>'FY31'!AD129</f>
        <v>19000</v>
      </c>
      <c r="AI129" s="194"/>
      <c r="AJ129" s="75">
        <f>'FY27'!AJ129</f>
        <v>0</v>
      </c>
      <c r="AK129" s="75">
        <f>'FY28'!AJ129</f>
        <v>11000</v>
      </c>
      <c r="AL129" s="75">
        <f>'FY29'!AJ129</f>
        <v>13375</v>
      </c>
      <c r="AM129" s="75">
        <f>'FY30'!AJ129</f>
        <v>15000</v>
      </c>
      <c r="AN129" s="75">
        <f>'FY31'!AJ129</f>
        <v>15000</v>
      </c>
      <c r="AP129" s="75">
        <f>'FY26'!AD129</f>
        <v>6750</v>
      </c>
      <c r="AQ129" s="75">
        <f>'FY27'!AP129</f>
        <v>6750</v>
      </c>
      <c r="AR129" s="75">
        <f>'FY28'!AP129</f>
        <v>6750</v>
      </c>
      <c r="AS129" s="75">
        <f>'FY29'!AP129</f>
        <v>6500</v>
      </c>
      <c r="AT129" s="75">
        <f>'FY30'!AP129</f>
        <v>6500</v>
      </c>
      <c r="AU129" s="75">
        <f>'FY31'!AP129</f>
        <v>6500</v>
      </c>
      <c r="AW129" s="75">
        <f>'FY26'!AJ129</f>
        <v>85250</v>
      </c>
      <c r="AX129" s="75">
        <f>'FY27'!AV129</f>
        <v>91125</v>
      </c>
      <c r="AY129" s="75">
        <f>'FY28'!AV129</f>
        <v>104125</v>
      </c>
      <c r="AZ129" s="75">
        <f>'FY29'!AV129</f>
        <v>111125</v>
      </c>
      <c r="BA129" s="75">
        <f>'FY30'!AV129</f>
        <v>115750</v>
      </c>
      <c r="BB129" s="75">
        <f>'FY31'!AV129</f>
        <v>118500</v>
      </c>
      <c r="BD129" s="166"/>
      <c r="BE129" s="166"/>
    </row>
    <row r="130" spans="1:57" x14ac:dyDescent="0.25">
      <c r="A130" s="21" t="s">
        <v>98</v>
      </c>
      <c r="B130" s="75">
        <f>'FY26'!F130</f>
        <v>125000</v>
      </c>
      <c r="C130" s="75">
        <f>'FY27'!F130</f>
        <v>125000</v>
      </c>
      <c r="D130" s="75">
        <f>'FY28'!F130</f>
        <v>125000</v>
      </c>
      <c r="E130" s="75">
        <f>'FY29'!F130</f>
        <v>125000</v>
      </c>
      <c r="F130" s="75">
        <f>'FY30'!F130</f>
        <v>125000</v>
      </c>
      <c r="G130" s="75">
        <f>'FY31'!F130</f>
        <v>125000</v>
      </c>
      <c r="I130" s="75">
        <f>'FY26'!L130</f>
        <v>50000</v>
      </c>
      <c r="J130" s="75">
        <f>'FY27'!L130</f>
        <v>50000</v>
      </c>
      <c r="K130" s="75">
        <f>'FY28'!L130</f>
        <v>50000</v>
      </c>
      <c r="L130" s="75">
        <f>'FY29'!L130</f>
        <v>50000</v>
      </c>
      <c r="M130" s="75">
        <f>'FY30'!L130</f>
        <v>50000</v>
      </c>
      <c r="N130" s="75">
        <f>'FY31'!L130</f>
        <v>50000</v>
      </c>
      <c r="P130" s="75">
        <f>'FY26'!R130</f>
        <v>20000</v>
      </c>
      <c r="Q130" s="75">
        <f>'FY27'!R130</f>
        <v>20000</v>
      </c>
      <c r="R130" s="75">
        <f>'FY28'!R130</f>
        <v>20000</v>
      </c>
      <c r="S130" s="75">
        <f>'FY29'!R130</f>
        <v>20000</v>
      </c>
      <c r="T130" s="75">
        <f>'FY30'!R130</f>
        <v>20000</v>
      </c>
      <c r="U130" s="75">
        <f>'FY31'!R130</f>
        <v>20000</v>
      </c>
      <c r="W130" s="75">
        <f>'FY26'!X130</f>
        <v>0</v>
      </c>
      <c r="X130" s="75">
        <f>'FY27'!X130</f>
        <v>0</v>
      </c>
      <c r="Y130" s="75">
        <f>'FY28'!X130</f>
        <v>0</v>
      </c>
      <c r="Z130" s="75">
        <f>'FY29'!X130</f>
        <v>0</v>
      </c>
      <c r="AA130" s="75">
        <f>'FY30'!X130</f>
        <v>0</v>
      </c>
      <c r="AB130" s="75">
        <f>'FY31'!X130</f>
        <v>0</v>
      </c>
      <c r="AC130" s="194"/>
      <c r="AD130" s="75">
        <f>'FY27'!AD130</f>
        <v>0</v>
      </c>
      <c r="AE130" s="75">
        <f>'FY28'!AD130</f>
        <v>0</v>
      </c>
      <c r="AF130" s="75">
        <f>'FY29'!AD130</f>
        <v>0</v>
      </c>
      <c r="AG130" s="75">
        <f>'FY30'!AD130</f>
        <v>0</v>
      </c>
      <c r="AH130" s="75">
        <f>'FY31'!AD130</f>
        <v>0</v>
      </c>
      <c r="AI130" s="194"/>
      <c r="AJ130" s="75">
        <f>'FY27'!AJ130</f>
        <v>0</v>
      </c>
      <c r="AK130" s="75">
        <f>'FY28'!AJ130</f>
        <v>0</v>
      </c>
      <c r="AL130" s="75">
        <f>'FY29'!AJ130</f>
        <v>0</v>
      </c>
      <c r="AM130" s="75">
        <f>'FY30'!AJ130</f>
        <v>0</v>
      </c>
      <c r="AN130" s="75">
        <f>'FY31'!AJ130</f>
        <v>0</v>
      </c>
      <c r="AP130" s="75">
        <f>'FY26'!AD130</f>
        <v>0</v>
      </c>
      <c r="AQ130" s="75">
        <f>'FY27'!AP130</f>
        <v>0</v>
      </c>
      <c r="AR130" s="75">
        <f>'FY28'!AP130</f>
        <v>0</v>
      </c>
      <c r="AS130" s="75">
        <f>'FY29'!AP130</f>
        <v>0</v>
      </c>
      <c r="AT130" s="75">
        <f>'FY30'!AP130</f>
        <v>0</v>
      </c>
      <c r="AU130" s="75">
        <f>'FY31'!AP130</f>
        <v>0</v>
      </c>
      <c r="AW130" s="75">
        <f>'FY26'!AJ130</f>
        <v>195000</v>
      </c>
      <c r="AX130" s="75">
        <f>'FY27'!AV130</f>
        <v>195000</v>
      </c>
      <c r="AY130" s="75">
        <f>'FY28'!AV130</f>
        <v>195000</v>
      </c>
      <c r="AZ130" s="75">
        <f>'FY29'!AV130</f>
        <v>195000</v>
      </c>
      <c r="BA130" s="75">
        <f>'FY30'!AV130</f>
        <v>195000</v>
      </c>
      <c r="BB130" s="75">
        <f>'FY31'!AV130</f>
        <v>195000</v>
      </c>
      <c r="BD130" s="166"/>
      <c r="BE130" s="166"/>
    </row>
    <row r="131" spans="1:57" x14ac:dyDescent="0.25">
      <c r="A131" s="22" t="s">
        <v>94</v>
      </c>
      <c r="B131" s="75">
        <f>'FY26'!F131</f>
        <v>8500</v>
      </c>
      <c r="C131" s="75">
        <f>'FY27'!F131</f>
        <v>8500</v>
      </c>
      <c r="D131" s="75">
        <f>'FY28'!F131</f>
        <v>8500</v>
      </c>
      <c r="E131" s="75">
        <f>'FY29'!F131</f>
        <v>8500</v>
      </c>
      <c r="F131" s="75">
        <f>'FY30'!F131</f>
        <v>8500</v>
      </c>
      <c r="G131" s="75">
        <f>'FY31'!F131</f>
        <v>8500</v>
      </c>
      <c r="I131" s="75">
        <f>'FY26'!L131</f>
        <v>8500</v>
      </c>
      <c r="J131" s="75">
        <f>'FY27'!L131</f>
        <v>8500</v>
      </c>
      <c r="K131" s="75">
        <f>'FY28'!L131</f>
        <v>8500</v>
      </c>
      <c r="L131" s="75">
        <f>'FY29'!L131</f>
        <v>8500</v>
      </c>
      <c r="M131" s="75">
        <f>'FY30'!L131</f>
        <v>8500</v>
      </c>
      <c r="N131" s="75">
        <f>'FY31'!L131</f>
        <v>8500</v>
      </c>
      <c r="P131" s="75">
        <f>'FY26'!R131</f>
        <v>25000</v>
      </c>
      <c r="Q131" s="75">
        <f>'FY27'!R131</f>
        <v>25000</v>
      </c>
      <c r="R131" s="75">
        <f>'FY28'!R131</f>
        <v>25000</v>
      </c>
      <c r="S131" s="75">
        <f>'FY29'!R131</f>
        <v>25000</v>
      </c>
      <c r="T131" s="75">
        <f>'FY30'!R131</f>
        <v>25000</v>
      </c>
      <c r="U131" s="75">
        <f>'FY31'!R131</f>
        <v>25000</v>
      </c>
      <c r="W131" s="75">
        <f>'FY26'!X131</f>
        <v>5000</v>
      </c>
      <c r="X131" s="75">
        <f>'FY27'!X131</f>
        <v>8000</v>
      </c>
      <c r="Y131" s="75">
        <f>'FY28'!X131</f>
        <v>8000</v>
      </c>
      <c r="Z131" s="75">
        <f>'FY29'!X131</f>
        <v>8000</v>
      </c>
      <c r="AA131" s="75">
        <f>'FY30'!X131</f>
        <v>8000</v>
      </c>
      <c r="AB131" s="75">
        <f>'FY31'!X131</f>
        <v>8000</v>
      </c>
      <c r="AC131" s="194"/>
      <c r="AD131" s="75">
        <f>'FY27'!AD131</f>
        <v>8000</v>
      </c>
      <c r="AE131" s="75">
        <f>'FY28'!AD131</f>
        <v>8000</v>
      </c>
      <c r="AF131" s="75">
        <f>'FY29'!AD131</f>
        <v>8000</v>
      </c>
      <c r="AG131" s="75">
        <f>'FY30'!AD131</f>
        <v>8000</v>
      </c>
      <c r="AH131" s="75">
        <f>'FY31'!AD131</f>
        <v>8000</v>
      </c>
      <c r="AI131" s="194"/>
      <c r="AJ131" s="75">
        <f>'FY27'!AJ131</f>
        <v>0</v>
      </c>
      <c r="AK131" s="75">
        <f>'FY28'!AJ131</f>
        <v>8000</v>
      </c>
      <c r="AL131" s="75">
        <f>'FY29'!AJ131</f>
        <v>12500</v>
      </c>
      <c r="AM131" s="75">
        <f>'FY30'!AJ131</f>
        <v>12500</v>
      </c>
      <c r="AN131" s="75">
        <f>'FY31'!AJ131</f>
        <v>12500</v>
      </c>
      <c r="AP131" s="75">
        <f>'FY26'!AD131</f>
        <v>0</v>
      </c>
      <c r="AQ131" s="75">
        <f>'FY27'!AP131</f>
        <v>0</v>
      </c>
      <c r="AR131" s="75">
        <f>'FY28'!AP131</f>
        <v>0</v>
      </c>
      <c r="AS131" s="75">
        <f>'FY29'!AP131</f>
        <v>0</v>
      </c>
      <c r="AT131" s="75">
        <f>'FY30'!AP131</f>
        <v>0</v>
      </c>
      <c r="AU131" s="75">
        <f>'FY31'!AP131</f>
        <v>0</v>
      </c>
      <c r="AW131" s="75">
        <f>'FY26'!AJ131</f>
        <v>47000</v>
      </c>
      <c r="AX131" s="75">
        <f>'FY27'!AV131</f>
        <v>58000</v>
      </c>
      <c r="AY131" s="75">
        <f>'FY28'!AV131</f>
        <v>66000</v>
      </c>
      <c r="AZ131" s="75">
        <f>'FY29'!AV131</f>
        <v>70500</v>
      </c>
      <c r="BA131" s="75">
        <f>'FY30'!AV131</f>
        <v>70500</v>
      </c>
      <c r="BB131" s="75">
        <f>'FY31'!AV131</f>
        <v>70500</v>
      </c>
      <c r="BD131" s="166"/>
      <c r="BE131" s="166"/>
    </row>
    <row r="132" spans="1:57" x14ac:dyDescent="0.25">
      <c r="A132" s="27"/>
      <c r="B132" s="76">
        <f>'FY26'!F132</f>
        <v>2475599.375</v>
      </c>
      <c r="C132" s="76">
        <f>'FY27'!F132</f>
        <v>2545822.9125000001</v>
      </c>
      <c r="D132" s="76">
        <f>'FY28'!F132</f>
        <v>2619340.6688750004</v>
      </c>
      <c r="E132" s="76">
        <f>'FY29'!F132</f>
        <v>2745858.1557612498</v>
      </c>
      <c r="F132" s="76">
        <f>'FY30'!F132</f>
        <v>2817277.1906208377</v>
      </c>
      <c r="G132" s="76">
        <f>'FY31'!F132</f>
        <v>2902861.6468120404</v>
      </c>
      <c r="I132" s="76">
        <f>'FY26'!L132</f>
        <v>2298629.8125</v>
      </c>
      <c r="J132" s="76">
        <f>'FY27'!L132</f>
        <v>2367714.4437500001</v>
      </c>
      <c r="K132" s="76">
        <f>'FY28'!L132</f>
        <v>2438435.8185625002</v>
      </c>
      <c r="L132" s="76">
        <f>'FY29'!L132</f>
        <v>2562027.7055143751</v>
      </c>
      <c r="M132" s="76">
        <f>'FY30'!L132</f>
        <v>2630613.3025184311</v>
      </c>
      <c r="N132" s="76">
        <f>'FY31'!L132</f>
        <v>2713300.5493757674</v>
      </c>
      <c r="P132" s="76">
        <f>'FY26'!R132</f>
        <v>4952821.125</v>
      </c>
      <c r="Q132" s="76">
        <f>'FY27'!R132</f>
        <v>5177612.3712499999</v>
      </c>
      <c r="R132" s="76">
        <f>'FY28'!R132</f>
        <v>5399663.8672374999</v>
      </c>
      <c r="S132" s="76">
        <f>'FY29'!R132</f>
        <v>5645015.7984576244</v>
      </c>
      <c r="T132" s="76">
        <f>'FY30'!R132</f>
        <v>5895210.1350029288</v>
      </c>
      <c r="U132" s="76">
        <f>'FY31'!R132</f>
        <v>6098411.2566792928</v>
      </c>
      <c r="W132" s="76">
        <f>'FY26'!X132</f>
        <v>930311.25</v>
      </c>
      <c r="X132" s="76">
        <f>'FY27'!X132</f>
        <v>1071036.2124999999</v>
      </c>
      <c r="Y132" s="76">
        <f>'FY28'!X132</f>
        <v>1116162.355</v>
      </c>
      <c r="Z132" s="76">
        <f>'FY29'!X132</f>
        <v>1164239.3317</v>
      </c>
      <c r="AA132" s="76">
        <f>'FY30'!X132</f>
        <v>1209999.298746</v>
      </c>
      <c r="AB132" s="76">
        <f>'FY31'!X132</f>
        <v>1271959.4767535001</v>
      </c>
      <c r="AC132" s="199"/>
      <c r="AD132" s="76">
        <f>'FY27'!AD132</f>
        <v>764108.45</v>
      </c>
      <c r="AE132" s="76">
        <f>'FY28'!AD132</f>
        <v>1146221.9375</v>
      </c>
      <c r="AF132" s="76">
        <f>'FY29'!AD132</f>
        <v>1748654.9449999998</v>
      </c>
      <c r="AG132" s="76">
        <f>'FY30'!AD132</f>
        <v>2332314.5542000001</v>
      </c>
      <c r="AH132" s="76">
        <f>'FY31'!AD132</f>
        <v>2889576.7807</v>
      </c>
      <c r="AI132" s="199"/>
      <c r="AJ132" s="76">
        <f>'FY27'!AJ132</f>
        <v>0</v>
      </c>
      <c r="AK132" s="76">
        <f>'FY28'!AJ132</f>
        <v>1340154.375</v>
      </c>
      <c r="AL132" s="76">
        <f>'FY29'!AJ132</f>
        <v>1817146.9874999998</v>
      </c>
      <c r="AM132" s="76">
        <f>'FY30'!AJ132</f>
        <v>2168560.7215</v>
      </c>
      <c r="AN132" s="76">
        <f>'FY31'!AJ132</f>
        <v>2254992.1108749998</v>
      </c>
      <c r="AP132" s="76">
        <f>'FY26'!AD132</f>
        <v>629043</v>
      </c>
      <c r="AQ132" s="76">
        <f>'FY27'!AP132</f>
        <v>630681.08499999996</v>
      </c>
      <c r="AR132" s="76">
        <f>'FY28'!AP132</f>
        <v>632347.70114999998</v>
      </c>
      <c r="AS132" s="76">
        <f>'FY29'!AP132</f>
        <v>612530.62951250002</v>
      </c>
      <c r="AT132" s="76">
        <f>'FY30'!AP132</f>
        <v>613498.46851437504</v>
      </c>
      <c r="AU132" s="76">
        <f>'FY31'!AP132</f>
        <v>668733.00998333632</v>
      </c>
      <c r="AW132" s="76">
        <f>'FY26'!AJ132</f>
        <v>11286404.5625</v>
      </c>
      <c r="AX132" s="76">
        <f>'FY27'!AV132</f>
        <v>12556975.475</v>
      </c>
      <c r="AY132" s="76">
        <f>'FY28'!AV132</f>
        <v>14692326.723324999</v>
      </c>
      <c r="AZ132" s="76">
        <f>'FY29'!AV132</f>
        <v>16295473.553445749</v>
      </c>
      <c r="BA132" s="76">
        <f>'FY30'!AV132</f>
        <v>17667473.671102576</v>
      </c>
      <c r="BB132" s="76">
        <f>'FY31'!AV132</f>
        <v>18799834.831178937</v>
      </c>
      <c r="BD132" s="166"/>
      <c r="BE132" s="166"/>
    </row>
    <row r="133" spans="1:57" x14ac:dyDescent="0.25">
      <c r="B133" s="79">
        <f>'FY26'!F133</f>
        <v>0</v>
      </c>
      <c r="C133" s="79">
        <f>'FY27'!F133</f>
        <v>0</v>
      </c>
      <c r="D133" s="79">
        <f>'FY28'!F133</f>
        <v>0</v>
      </c>
      <c r="E133" s="79">
        <f>'FY29'!F133</f>
        <v>0</v>
      </c>
      <c r="F133" s="79">
        <f>'FY30'!F133</f>
        <v>0</v>
      </c>
      <c r="G133" s="79">
        <f>'FY31'!F133</f>
        <v>0</v>
      </c>
      <c r="I133" s="79">
        <f>'FY26'!L133</f>
        <v>0</v>
      </c>
      <c r="J133" s="79">
        <f>'FY27'!L133</f>
        <v>0</v>
      </c>
      <c r="K133" s="79">
        <f>'FY28'!L133</f>
        <v>0</v>
      </c>
      <c r="L133" s="79">
        <f>'FY29'!L133</f>
        <v>0</v>
      </c>
      <c r="M133" s="79">
        <f>'FY30'!L133</f>
        <v>0</v>
      </c>
      <c r="N133" s="79">
        <f>'FY31'!L133</f>
        <v>0</v>
      </c>
      <c r="P133" s="79">
        <f>'FY26'!R133</f>
        <v>0</v>
      </c>
      <c r="Q133" s="79">
        <f>'FY27'!R133</f>
        <v>0</v>
      </c>
      <c r="R133" s="79">
        <f>'FY28'!R133</f>
        <v>0</v>
      </c>
      <c r="S133" s="79">
        <f>'FY29'!R133</f>
        <v>0</v>
      </c>
      <c r="T133" s="79">
        <f>'FY30'!R133</f>
        <v>0</v>
      </c>
      <c r="U133" s="79">
        <f>'FY31'!R133</f>
        <v>0</v>
      </c>
      <c r="W133" s="79">
        <f>'FY26'!X133</f>
        <v>0</v>
      </c>
      <c r="X133" s="79">
        <f>'FY27'!X133</f>
        <v>0</v>
      </c>
      <c r="Y133" s="79">
        <f>'FY28'!X133</f>
        <v>0</v>
      </c>
      <c r="Z133" s="79">
        <f>'FY29'!X133</f>
        <v>0</v>
      </c>
      <c r="AA133" s="79">
        <f>'FY30'!X133</f>
        <v>0</v>
      </c>
      <c r="AB133" s="79">
        <f>'FY31'!X133</f>
        <v>0</v>
      </c>
      <c r="AC133" s="79"/>
      <c r="AD133" s="79">
        <f>'FY27'!AD133</f>
        <v>0</v>
      </c>
      <c r="AE133" s="79">
        <f>'FY28'!AD133</f>
        <v>0</v>
      </c>
      <c r="AF133" s="79">
        <f>'FY29'!AD133</f>
        <v>0</v>
      </c>
      <c r="AG133" s="79">
        <f>'FY30'!AD133</f>
        <v>0</v>
      </c>
      <c r="AH133" s="79">
        <f>'FY31'!AD133</f>
        <v>0</v>
      </c>
      <c r="AI133" s="79"/>
      <c r="AJ133" s="79">
        <f>'FY27'!AJ133</f>
        <v>0</v>
      </c>
      <c r="AK133" s="79">
        <f>'FY28'!AJ133</f>
        <v>0</v>
      </c>
      <c r="AL133" s="79">
        <f>'FY29'!AJ133</f>
        <v>0</v>
      </c>
      <c r="AM133" s="79">
        <f>'FY30'!AJ133</f>
        <v>0</v>
      </c>
      <c r="AN133" s="79">
        <f>'FY31'!AJ133</f>
        <v>0</v>
      </c>
      <c r="AP133" s="79">
        <f>'FY26'!AD133</f>
        <v>0</v>
      </c>
      <c r="AQ133" s="79">
        <f>'FY27'!AP133</f>
        <v>0</v>
      </c>
      <c r="AR133" s="79">
        <f>'FY28'!AP133</f>
        <v>0</v>
      </c>
      <c r="AS133" s="79">
        <f>'FY29'!AP133</f>
        <v>0</v>
      </c>
      <c r="AT133" s="79">
        <f>'FY30'!AP133</f>
        <v>0</v>
      </c>
      <c r="AU133" s="79">
        <f>'FY31'!AP133</f>
        <v>0</v>
      </c>
      <c r="AW133" s="79">
        <f>'FY26'!AJ133</f>
        <v>0</v>
      </c>
      <c r="AX133" s="79">
        <f>'FY27'!AV133</f>
        <v>0</v>
      </c>
      <c r="AY133" s="79">
        <f>'FY28'!AV133</f>
        <v>0</v>
      </c>
      <c r="AZ133" s="79">
        <f>'FY29'!AV133</f>
        <v>0</v>
      </c>
      <c r="BA133" s="79">
        <f>'FY30'!AV133</f>
        <v>0</v>
      </c>
      <c r="BB133" s="79">
        <f>'FY31'!AV133</f>
        <v>0</v>
      </c>
      <c r="BD133" s="166"/>
      <c r="BE133" s="166"/>
    </row>
    <row r="134" spans="1:57" x14ac:dyDescent="0.25">
      <c r="A134" s="28"/>
      <c r="B134" s="78" t="str">
        <f>'FY26'!F134</f>
        <v>FY26- Mtn</v>
      </c>
      <c r="C134" s="78" t="str">
        <f>'FY27'!F134</f>
        <v>FY27- Mtn</v>
      </c>
      <c r="D134" s="78" t="str">
        <f>'FY28'!F134</f>
        <v>FY28- Mtn</v>
      </c>
      <c r="E134" s="78" t="str">
        <f>'FY29'!F134</f>
        <v>FY29- Mtn</v>
      </c>
      <c r="F134" s="78" t="str">
        <f>'FY30'!F134</f>
        <v>FY30- Mtn</v>
      </c>
      <c r="G134" s="78" t="str">
        <f>'FY31'!F134</f>
        <v>FY31- Mtn</v>
      </c>
      <c r="I134" s="78" t="str">
        <f>'FY26'!L134</f>
        <v>FY26- Bon</v>
      </c>
      <c r="J134" s="78" t="str">
        <f>'FY27'!L134</f>
        <v>FY27- Bon</v>
      </c>
      <c r="K134" s="78" t="str">
        <f>'FY28'!L134</f>
        <v>FY28- Bon</v>
      </c>
      <c r="L134" s="78" t="str">
        <f>'FY29'!L134</f>
        <v>FY29- Bon</v>
      </c>
      <c r="M134" s="78" t="str">
        <f>'FY30'!L134</f>
        <v>FY30- Bon</v>
      </c>
      <c r="N134" s="78" t="str">
        <f>'FY31'!L134</f>
        <v>FY31- Bon</v>
      </c>
      <c r="P134" s="78" t="str">
        <f>'FY26'!R134</f>
        <v>FY26- East</v>
      </c>
      <c r="Q134" s="78" t="str">
        <f>'FY27'!R134</f>
        <v>FY27- East</v>
      </c>
      <c r="R134" s="78" t="str">
        <f>'FY28'!R134</f>
        <v>FY28- East</v>
      </c>
      <c r="S134" s="78" t="str">
        <f>'FY29'!R134</f>
        <v>FY29- East</v>
      </c>
      <c r="T134" s="78" t="str">
        <f>'FY30'!R134</f>
        <v>FY30- East</v>
      </c>
      <c r="U134" s="78" t="str">
        <f>'FY31'!R134</f>
        <v>FY31- East</v>
      </c>
      <c r="W134" s="78" t="str">
        <f>'FY26'!X134</f>
        <v>FY26- Cactus</v>
      </c>
      <c r="X134" s="78" t="str">
        <f>'FY27'!X134</f>
        <v>FY27- Cactus</v>
      </c>
      <c r="Y134" s="78" t="str">
        <f>'FY28'!X134</f>
        <v>FY28- Cactus</v>
      </c>
      <c r="Z134" s="78" t="str">
        <f>'FY29'!X134</f>
        <v>FY29- Cactus</v>
      </c>
      <c r="AA134" s="78" t="str">
        <f>'FY30'!X134</f>
        <v>FY30- Cactus</v>
      </c>
      <c r="AB134" s="78" t="str">
        <f>'FY31'!X134</f>
        <v>FY31- Cactus</v>
      </c>
      <c r="AC134" s="201"/>
      <c r="AD134" s="78" t="str">
        <f>'FY27'!AD134</f>
        <v>FY27- Sahara</v>
      </c>
      <c r="AE134" s="78" t="str">
        <f>'FY28'!AD134</f>
        <v>FY28- Sahara</v>
      </c>
      <c r="AF134" s="78" t="str">
        <f>'FY29'!AD134</f>
        <v>FY29- Sahara</v>
      </c>
      <c r="AG134" s="78" t="str">
        <f>'FY30'!AD134</f>
        <v>FY30- Sahara</v>
      </c>
      <c r="AH134" s="78" t="str">
        <f>'FY31'!AD134</f>
        <v>FY31- Sahara</v>
      </c>
      <c r="AI134" s="201"/>
      <c r="AJ134" s="78" t="str">
        <f>'FY27'!AJ134</f>
        <v>FY27- VV</v>
      </c>
      <c r="AK134" s="78" t="str">
        <f>'FY28'!AJ134</f>
        <v>FY27- VV</v>
      </c>
      <c r="AL134" s="78" t="str">
        <f>'FY29'!AJ134</f>
        <v>FY29- VV</v>
      </c>
      <c r="AM134" s="78" t="str">
        <f>'FY30'!AJ134</f>
        <v>FY30- VV</v>
      </c>
      <c r="AN134" s="78" t="str">
        <f>'FY31'!AJ134</f>
        <v>FY31- VV</v>
      </c>
      <c r="AP134" s="78" t="str">
        <f>'FY26'!AD134</f>
        <v>FY26 - Central</v>
      </c>
      <c r="AQ134" s="78" t="str">
        <f>'FY27'!AP134</f>
        <v>FY27 - Central</v>
      </c>
      <c r="AR134" s="78" t="str">
        <f>'FY28'!AP134</f>
        <v>FY28 - Central</v>
      </c>
      <c r="AS134" s="78" t="str">
        <f>'FY29'!AP134</f>
        <v>FY29 - Central</v>
      </c>
      <c r="AT134" s="78" t="str">
        <f>'FY30'!AP134</f>
        <v>FY30 - Central</v>
      </c>
      <c r="AU134" s="78" t="str">
        <f>'FY31'!AP134</f>
        <v>FY31 - Central</v>
      </c>
      <c r="AW134" s="78" t="str">
        <f>'FY26'!AJ134</f>
        <v>FY26- Sys</v>
      </c>
      <c r="AX134" s="78" t="str">
        <f>'FY27'!AV134</f>
        <v>FY27- Sys</v>
      </c>
      <c r="AY134" s="78" t="str">
        <f>'FY28'!AV134</f>
        <v>FY28- Sys</v>
      </c>
      <c r="AZ134" s="78" t="str">
        <f>'FY29'!AV134</f>
        <v>FY29- Sys</v>
      </c>
      <c r="BA134" s="78" t="str">
        <f>'FY30'!AV134</f>
        <v>FY29- Sys</v>
      </c>
      <c r="BB134" s="78" t="str">
        <f>'FY31'!AV134</f>
        <v>FY31- Sys</v>
      </c>
      <c r="BD134" s="166"/>
      <c r="BE134" s="166"/>
    </row>
    <row r="135" spans="1:57" x14ac:dyDescent="0.25">
      <c r="A135" s="30" t="s">
        <v>99</v>
      </c>
      <c r="B135" s="75">
        <f>'FY26'!F135</f>
        <v>236250</v>
      </c>
      <c r="C135" s="75">
        <f>'FY27'!F135</f>
        <v>241500</v>
      </c>
      <c r="D135" s="75">
        <f>'FY28'!F135</f>
        <v>252000</v>
      </c>
      <c r="E135" s="75">
        <f>'FY29'!F135</f>
        <v>262500</v>
      </c>
      <c r="F135" s="75">
        <f>'FY30'!F135</f>
        <v>267750</v>
      </c>
      <c r="G135" s="75">
        <f>'FY31'!F135</f>
        <v>273000</v>
      </c>
      <c r="I135" s="75">
        <f>'FY26'!L135</f>
        <v>236250</v>
      </c>
      <c r="J135" s="75">
        <f>'FY27'!L135</f>
        <v>241500</v>
      </c>
      <c r="K135" s="75">
        <f>'FY28'!L135</f>
        <v>252000</v>
      </c>
      <c r="L135" s="75">
        <f>'FY29'!L135</f>
        <v>262500</v>
      </c>
      <c r="M135" s="75">
        <f>'FY30'!L135</f>
        <v>267750</v>
      </c>
      <c r="N135" s="75">
        <f>'FY31'!L135</f>
        <v>273000</v>
      </c>
      <c r="P135" s="75">
        <f>'FY26'!R135</f>
        <v>562500</v>
      </c>
      <c r="Q135" s="75">
        <f>'FY27'!R135</f>
        <v>575000</v>
      </c>
      <c r="R135" s="75">
        <f>'FY28'!R135</f>
        <v>612000</v>
      </c>
      <c r="S135" s="75">
        <f>'FY29'!R135</f>
        <v>637500</v>
      </c>
      <c r="T135" s="75">
        <f>'FY30'!R135</f>
        <v>650250</v>
      </c>
      <c r="U135" s="75">
        <f>'FY31'!R135</f>
        <v>663000</v>
      </c>
      <c r="W135" s="75">
        <f>'FY26'!X135</f>
        <v>112500</v>
      </c>
      <c r="X135" s="75">
        <f>'FY27'!X135</f>
        <v>117500</v>
      </c>
      <c r="Y135" s="75">
        <f>'FY28'!X135</f>
        <v>132000</v>
      </c>
      <c r="Z135" s="75">
        <f>'FY29'!X135</f>
        <v>127500</v>
      </c>
      <c r="AA135" s="75">
        <f>'FY30'!X135</f>
        <v>132500</v>
      </c>
      <c r="AB135" s="75">
        <f>'FY31'!X135</f>
        <v>151250</v>
      </c>
      <c r="AC135" s="194"/>
      <c r="AD135" s="75">
        <f>'FY27'!AD135</f>
        <v>67500</v>
      </c>
      <c r="AE135" s="75">
        <f>'FY28'!AD135</f>
        <v>144290</v>
      </c>
      <c r="AF135" s="75">
        <f>'FY29'!AD135</f>
        <v>220750</v>
      </c>
      <c r="AG135" s="75">
        <f>'FY30'!AD135</f>
        <v>291720</v>
      </c>
      <c r="AH135" s="75">
        <f>'FY31'!AD135</f>
        <v>353860</v>
      </c>
      <c r="AI135" s="194"/>
      <c r="AJ135" s="75">
        <f>'FY27'!AJ135</f>
        <v>0</v>
      </c>
      <c r="AK135" s="75">
        <f>'FY28'!AJ135</f>
        <v>188000</v>
      </c>
      <c r="AL135" s="75">
        <f>'FY29'!AJ135</f>
        <v>257250</v>
      </c>
      <c r="AM135" s="75">
        <f>'FY30'!AJ135</f>
        <v>267750</v>
      </c>
      <c r="AN135" s="75">
        <f>'FY31'!AJ135</f>
        <v>278250</v>
      </c>
      <c r="AP135" s="75">
        <f>'FY26'!AD135</f>
        <v>0</v>
      </c>
      <c r="AQ135" s="75">
        <f>'FY27'!AP135</f>
        <v>0</v>
      </c>
      <c r="AR135" s="75">
        <f>'FY28'!AP135</f>
        <v>0</v>
      </c>
      <c r="AS135" s="75">
        <f>'FY29'!AP135</f>
        <v>0</v>
      </c>
      <c r="AT135" s="75">
        <f>'FY30'!AP135</f>
        <v>0</v>
      </c>
      <c r="AU135" s="75">
        <f>'FY31'!AP135</f>
        <v>0</v>
      </c>
      <c r="AW135" s="75">
        <f>'FY26'!AJ135</f>
        <v>1147500</v>
      </c>
      <c r="AX135" s="75">
        <f>'FY27'!AV135</f>
        <v>1243000</v>
      </c>
      <c r="AY135" s="75">
        <f>'FY28'!AV135</f>
        <v>1580290</v>
      </c>
      <c r="AZ135" s="75">
        <f>'FY29'!AV135</f>
        <v>1768000</v>
      </c>
      <c r="BA135" s="75">
        <f>'FY30'!AV135</f>
        <v>1877720</v>
      </c>
      <c r="BB135" s="75">
        <f>'FY31'!AV135</f>
        <v>1992360</v>
      </c>
      <c r="BD135" s="166"/>
      <c r="BE135" s="166"/>
    </row>
    <row r="136" spans="1:57" x14ac:dyDescent="0.25">
      <c r="A136" s="31" t="s">
        <v>100</v>
      </c>
      <c r="B136" s="75">
        <f>'FY26'!F136</f>
        <v>0</v>
      </c>
      <c r="C136" s="75">
        <f>'FY27'!F136</f>
        <v>0</v>
      </c>
      <c r="D136" s="75">
        <f>'FY28'!F136</f>
        <v>0</v>
      </c>
      <c r="E136" s="75">
        <f>'FY29'!F136</f>
        <v>0</v>
      </c>
      <c r="F136" s="75">
        <f>'FY30'!F136</f>
        <v>0</v>
      </c>
      <c r="G136" s="75">
        <f>'FY31'!F136</f>
        <v>0</v>
      </c>
      <c r="I136" s="75">
        <f>'FY26'!L136</f>
        <v>0</v>
      </c>
      <c r="J136" s="75">
        <f>'FY27'!L136</f>
        <v>0</v>
      </c>
      <c r="K136" s="75">
        <f>'FY28'!L136</f>
        <v>0</v>
      </c>
      <c r="L136" s="75">
        <f>'FY29'!L136</f>
        <v>0</v>
      </c>
      <c r="M136" s="75">
        <f>'FY30'!L136</f>
        <v>0</v>
      </c>
      <c r="N136" s="75">
        <f>'FY31'!L136</f>
        <v>0</v>
      </c>
      <c r="P136" s="75">
        <f>'FY26'!R136</f>
        <v>250000</v>
      </c>
      <c r="Q136" s="75">
        <f>'FY27'!R136</f>
        <v>275000</v>
      </c>
      <c r="R136" s="75">
        <f>'FY28'!R136</f>
        <v>290000</v>
      </c>
      <c r="S136" s="75">
        <f>'FY29'!R136</f>
        <v>305000</v>
      </c>
      <c r="T136" s="75">
        <f>'FY30'!R136</f>
        <v>325000</v>
      </c>
      <c r="U136" s="75">
        <f>'FY31'!R136</f>
        <v>350000</v>
      </c>
      <c r="W136" s="75">
        <f>'FY26'!X136</f>
        <v>0</v>
      </c>
      <c r="X136" s="75">
        <f>'FY27'!X136</f>
        <v>0</v>
      </c>
      <c r="Y136" s="75">
        <f>'FY28'!X136</f>
        <v>0</v>
      </c>
      <c r="Z136" s="75">
        <f>'FY29'!X136</f>
        <v>0</v>
      </c>
      <c r="AA136" s="75">
        <f>'FY30'!X136</f>
        <v>0</v>
      </c>
      <c r="AB136" s="75">
        <f>'FY31'!X136</f>
        <v>0</v>
      </c>
      <c r="AC136" s="194"/>
      <c r="AD136" s="75">
        <f>'FY27'!AD136</f>
        <v>0</v>
      </c>
      <c r="AE136" s="75">
        <f>'FY28'!AD136</f>
        <v>0</v>
      </c>
      <c r="AF136" s="75">
        <f>'FY29'!AD136</f>
        <v>0</v>
      </c>
      <c r="AG136" s="75">
        <f>'FY30'!AD136</f>
        <v>0</v>
      </c>
      <c r="AH136" s="75">
        <f>'FY31'!AD136</f>
        <v>30000</v>
      </c>
      <c r="AI136" s="194"/>
      <c r="AJ136" s="75">
        <f>'FY27'!AJ136</f>
        <v>0</v>
      </c>
      <c r="AK136" s="75">
        <f>'FY28'!AJ136</f>
        <v>0</v>
      </c>
      <c r="AL136" s="75">
        <f>'FY29'!AJ136</f>
        <v>0</v>
      </c>
      <c r="AM136" s="75">
        <f>'FY30'!AJ136</f>
        <v>0</v>
      </c>
      <c r="AN136" s="75">
        <f>'FY31'!AJ136</f>
        <v>0</v>
      </c>
      <c r="AP136" s="75">
        <f>'FY26'!AD136</f>
        <v>0</v>
      </c>
      <c r="AQ136" s="75">
        <f>'FY27'!AP136</f>
        <v>0</v>
      </c>
      <c r="AR136" s="75">
        <f>'FY28'!AP136</f>
        <v>0</v>
      </c>
      <c r="AS136" s="75">
        <f>'FY29'!AP136</f>
        <v>0</v>
      </c>
      <c r="AT136" s="75">
        <f>'FY30'!AP136</f>
        <v>0</v>
      </c>
      <c r="AU136" s="75">
        <f>'FY31'!AP136</f>
        <v>0</v>
      </c>
      <c r="AW136" s="75">
        <f>'FY26'!AJ136</f>
        <v>250000</v>
      </c>
      <c r="AX136" s="75">
        <f>'FY27'!AV136</f>
        <v>275000</v>
      </c>
      <c r="AY136" s="75">
        <f>'FY28'!AV136</f>
        <v>290000</v>
      </c>
      <c r="AZ136" s="75">
        <f>'FY29'!AV136</f>
        <v>305000</v>
      </c>
      <c r="BA136" s="75">
        <f>'FY30'!AV136</f>
        <v>325000</v>
      </c>
      <c r="BB136" s="75">
        <f>'FY31'!AV136</f>
        <v>380000</v>
      </c>
      <c r="BD136" s="166"/>
      <c r="BE136" s="166"/>
    </row>
    <row r="137" spans="1:57" x14ac:dyDescent="0.25">
      <c r="A137" s="32" t="s">
        <v>101</v>
      </c>
      <c r="B137" s="75">
        <f>'FY26'!F137</f>
        <v>0</v>
      </c>
      <c r="C137" s="75">
        <f>'FY27'!F137</f>
        <v>0</v>
      </c>
      <c r="D137" s="75">
        <f>'FY28'!F137</f>
        <v>0</v>
      </c>
      <c r="E137" s="75">
        <f>'FY29'!F137</f>
        <v>0</v>
      </c>
      <c r="F137" s="75">
        <f>'FY30'!F137</f>
        <v>0</v>
      </c>
      <c r="G137" s="75">
        <f>'FY31'!F137</f>
        <v>0</v>
      </c>
      <c r="I137" s="75">
        <f>'FY26'!L137</f>
        <v>0</v>
      </c>
      <c r="J137" s="75">
        <f>'FY27'!L137</f>
        <v>0</v>
      </c>
      <c r="K137" s="75">
        <f>'FY28'!L137</f>
        <v>0</v>
      </c>
      <c r="L137" s="75">
        <f>'FY29'!L137</f>
        <v>0</v>
      </c>
      <c r="M137" s="75">
        <f>'FY30'!L137</f>
        <v>0</v>
      </c>
      <c r="N137" s="75">
        <f>'FY31'!L137</f>
        <v>0</v>
      </c>
      <c r="P137" s="75">
        <f>'FY26'!R137</f>
        <v>112500</v>
      </c>
      <c r="Q137" s="75">
        <f>'FY27'!R137</f>
        <v>75000</v>
      </c>
      <c r="R137" s="75">
        <f>'FY28'!R137</f>
        <v>50000</v>
      </c>
      <c r="S137" s="75">
        <f>'FY29'!R137</f>
        <v>50000</v>
      </c>
      <c r="T137" s="75">
        <f>'FY30'!R137</f>
        <v>75000</v>
      </c>
      <c r="U137" s="75">
        <f>'FY31'!R137</f>
        <v>65000</v>
      </c>
      <c r="W137" s="75">
        <f>'FY26'!X137</f>
        <v>0</v>
      </c>
      <c r="X137" s="75">
        <f>'FY27'!X137</f>
        <v>0</v>
      </c>
      <c r="Y137" s="75">
        <f>'FY28'!X137</f>
        <v>0</v>
      </c>
      <c r="Z137" s="75">
        <f>'FY29'!X137</f>
        <v>0</v>
      </c>
      <c r="AA137" s="75">
        <f>'FY30'!X137</f>
        <v>0</v>
      </c>
      <c r="AB137" s="75">
        <f>'FY31'!X137</f>
        <v>0</v>
      </c>
      <c r="AC137" s="194"/>
      <c r="AD137" s="75">
        <f>'FY27'!AD137</f>
        <v>0</v>
      </c>
      <c r="AE137" s="75">
        <f>'FY28'!AD137</f>
        <v>0</v>
      </c>
      <c r="AF137" s="75">
        <f>'FY29'!AD137</f>
        <v>0</v>
      </c>
      <c r="AG137" s="75">
        <f>'FY30'!AD137</f>
        <v>0</v>
      </c>
      <c r="AH137" s="75">
        <f>'FY31'!AD137</f>
        <v>0</v>
      </c>
      <c r="AI137" s="194"/>
      <c r="AJ137" s="75">
        <f>'FY27'!AJ137</f>
        <v>0</v>
      </c>
      <c r="AK137" s="75">
        <f>'FY28'!AJ137</f>
        <v>0</v>
      </c>
      <c r="AL137" s="75">
        <f>'FY29'!AJ137</f>
        <v>200000</v>
      </c>
      <c r="AM137" s="75">
        <f>'FY30'!AJ137</f>
        <v>200000</v>
      </c>
      <c r="AN137" s="75">
        <f>'FY31'!AJ137</f>
        <v>0</v>
      </c>
      <c r="AP137" s="75">
        <f>'FY26'!AD137</f>
        <v>0</v>
      </c>
      <c r="AQ137" s="75">
        <f>'FY27'!AP137</f>
        <v>0</v>
      </c>
      <c r="AR137" s="75">
        <f>'FY28'!AP137</f>
        <v>0</v>
      </c>
      <c r="AS137" s="75">
        <f>'FY29'!AP137</f>
        <v>0</v>
      </c>
      <c r="AT137" s="75">
        <f>'FY30'!AP137</f>
        <v>0</v>
      </c>
      <c r="AU137" s="75">
        <f>'FY31'!AP137</f>
        <v>0</v>
      </c>
      <c r="AW137" s="75">
        <f>'FY26'!AJ137</f>
        <v>112500</v>
      </c>
      <c r="AX137" s="75">
        <f>'FY27'!AV137</f>
        <v>75000</v>
      </c>
      <c r="AY137" s="75">
        <f>'FY28'!AV137</f>
        <v>50000</v>
      </c>
      <c r="AZ137" s="75">
        <f>'FY29'!AV137</f>
        <v>250000</v>
      </c>
      <c r="BA137" s="75">
        <f>'FY30'!AV137</f>
        <v>275000</v>
      </c>
      <c r="BB137" s="75">
        <f>'FY31'!AV137</f>
        <v>65000</v>
      </c>
      <c r="BD137" s="166"/>
      <c r="BE137" s="166"/>
    </row>
    <row r="138" spans="1:57" x14ac:dyDescent="0.25">
      <c r="A138" s="32" t="s">
        <v>102</v>
      </c>
      <c r="B138" s="75">
        <f>'FY26'!F138</f>
        <v>35980</v>
      </c>
      <c r="C138" s="75">
        <f>'FY27'!F138</f>
        <v>37008</v>
      </c>
      <c r="D138" s="75">
        <f>'FY28'!F138</f>
        <v>38036</v>
      </c>
      <c r="E138" s="75">
        <f>'FY29'!F138</f>
        <v>39064</v>
      </c>
      <c r="F138" s="75">
        <f>'FY30'!F138</f>
        <v>40092</v>
      </c>
      <c r="G138" s="75">
        <f>'FY31'!F138</f>
        <v>41120</v>
      </c>
      <c r="I138" s="75">
        <f>'FY26'!L138</f>
        <v>35980</v>
      </c>
      <c r="J138" s="75">
        <f>'FY27'!L138</f>
        <v>37008</v>
      </c>
      <c r="K138" s="75">
        <f>'FY28'!L138</f>
        <v>38036</v>
      </c>
      <c r="L138" s="75">
        <f>'FY29'!L138</f>
        <v>39064</v>
      </c>
      <c r="M138" s="75">
        <f>'FY30'!L138</f>
        <v>40092</v>
      </c>
      <c r="N138" s="75">
        <f>'FY31'!L138</f>
        <v>41120</v>
      </c>
      <c r="P138" s="75">
        <f>'FY26'!R138</f>
        <v>85505</v>
      </c>
      <c r="Q138" s="75">
        <f>'FY27'!R138</f>
        <v>88524</v>
      </c>
      <c r="R138" s="75">
        <f>'FY28'!R138</f>
        <v>91686</v>
      </c>
      <c r="S138" s="75">
        <f>'FY29'!R138</f>
        <v>95418</v>
      </c>
      <c r="T138" s="75">
        <f>'FY30'!R138</f>
        <v>98280</v>
      </c>
      <c r="U138" s="75">
        <f>'FY31'!R138</f>
        <v>100440</v>
      </c>
      <c r="W138" s="75">
        <f>'FY26'!X138</f>
        <v>16590</v>
      </c>
      <c r="X138" s="75">
        <f>'FY27'!X138</f>
        <v>19721</v>
      </c>
      <c r="Y138" s="75">
        <f>'FY28'!X138</f>
        <v>20865</v>
      </c>
      <c r="Z138" s="75">
        <f>'FY29'!X138</f>
        <v>22017</v>
      </c>
      <c r="AA138" s="75">
        <f>'FY30'!X138</f>
        <v>22638</v>
      </c>
      <c r="AB138" s="75">
        <f>'FY31'!X138</f>
        <v>23220</v>
      </c>
      <c r="AC138" s="194"/>
      <c r="AD138" s="75">
        <f>'FY27'!AD138</f>
        <v>15873</v>
      </c>
      <c r="AE138" s="75">
        <f>'FY28'!AD138</f>
        <v>22718</v>
      </c>
      <c r="AF138" s="75">
        <f>'FY29'!AD138</f>
        <v>33554</v>
      </c>
      <c r="AG138" s="75">
        <f>'FY30'!AD138</f>
        <v>44616</v>
      </c>
      <c r="AH138" s="75">
        <f>'FY31'!AD138</f>
        <v>54440</v>
      </c>
      <c r="AI138" s="194"/>
      <c r="AJ138" s="75">
        <f>'FY27'!AJ138</f>
        <v>0</v>
      </c>
      <c r="AK138" s="75">
        <f>'FY28'!AJ138</f>
        <v>28860</v>
      </c>
      <c r="AL138" s="75">
        <f>'FY29'!AJ138</f>
        <v>34373</v>
      </c>
      <c r="AM138" s="75">
        <f>'FY30'!AJ138</f>
        <v>42763</v>
      </c>
      <c r="AN138" s="75">
        <f>'FY31'!AJ138</f>
        <v>43134</v>
      </c>
      <c r="AP138" s="75">
        <f>'FY26'!AD138</f>
        <v>0</v>
      </c>
      <c r="AQ138" s="75">
        <f>'FY27'!AP138</f>
        <v>0</v>
      </c>
      <c r="AR138" s="75">
        <f>'FY28'!AP138</f>
        <v>0</v>
      </c>
      <c r="AS138" s="75">
        <f>'FY29'!AP138</f>
        <v>0</v>
      </c>
      <c r="AT138" s="75">
        <f>'FY30'!AP138</f>
        <v>0</v>
      </c>
      <c r="AU138" s="75">
        <f>'FY31'!AP138</f>
        <v>0</v>
      </c>
      <c r="AW138" s="75">
        <f>'FY26'!AJ138</f>
        <v>174055</v>
      </c>
      <c r="AX138" s="75">
        <f>'FY27'!AV138</f>
        <v>198134</v>
      </c>
      <c r="AY138" s="75">
        <f>'FY28'!AV138</f>
        <v>240201</v>
      </c>
      <c r="AZ138" s="75">
        <f>'FY29'!AV138</f>
        <v>263490</v>
      </c>
      <c r="BA138" s="75">
        <f>'FY30'!AV138</f>
        <v>288481</v>
      </c>
      <c r="BB138" s="75">
        <f>'FY31'!AV138</f>
        <v>303474</v>
      </c>
      <c r="BD138" s="166"/>
      <c r="BE138" s="166"/>
    </row>
    <row r="139" spans="1:57" x14ac:dyDescent="0.25">
      <c r="A139" s="32" t="s">
        <v>103</v>
      </c>
      <c r="B139" s="75">
        <f>'FY26'!F139</f>
        <v>22616</v>
      </c>
      <c r="C139" s="75">
        <f>'FY27'!F139</f>
        <v>23644</v>
      </c>
      <c r="D139" s="75">
        <f>'FY28'!F139</f>
        <v>24672</v>
      </c>
      <c r="E139" s="75">
        <f>'FY29'!F139</f>
        <v>25700</v>
      </c>
      <c r="F139" s="75">
        <f>'FY30'!F139</f>
        <v>26728</v>
      </c>
      <c r="G139" s="75">
        <f>'FY31'!F139</f>
        <v>27756</v>
      </c>
      <c r="I139" s="75">
        <f>'FY26'!L139</f>
        <v>22616</v>
      </c>
      <c r="J139" s="75">
        <f>'FY27'!L139</f>
        <v>23644</v>
      </c>
      <c r="K139" s="75">
        <f>'FY28'!L139</f>
        <v>24672</v>
      </c>
      <c r="L139" s="75">
        <f>'FY29'!L139</f>
        <v>25700</v>
      </c>
      <c r="M139" s="75">
        <f>'FY30'!L139</f>
        <v>26728</v>
      </c>
      <c r="N139" s="75">
        <f>'FY31'!L139</f>
        <v>27756</v>
      </c>
      <c r="P139" s="75">
        <f>'FY26'!R139</f>
        <v>53746</v>
      </c>
      <c r="Q139" s="75">
        <f>'FY27'!R139</f>
        <v>56557</v>
      </c>
      <c r="R139" s="75">
        <f>'FY28'!R139</f>
        <v>59472</v>
      </c>
      <c r="S139" s="75">
        <f>'FY29'!R139</f>
        <v>62775</v>
      </c>
      <c r="T139" s="75">
        <f>'FY30'!R139</f>
        <v>65520</v>
      </c>
      <c r="U139" s="75">
        <f>'FY31'!R139</f>
        <v>67797</v>
      </c>
      <c r="W139" s="75">
        <f>'FY26'!X139</f>
        <v>10428</v>
      </c>
      <c r="X139" s="75">
        <f>'FY27'!X139</f>
        <v>12792</v>
      </c>
      <c r="Y139" s="75">
        <f>'FY28'!X139</f>
        <v>13910</v>
      </c>
      <c r="Z139" s="75">
        <f>'FY29'!X139</f>
        <v>15036</v>
      </c>
      <c r="AA139" s="75">
        <f>'FY30'!X139</f>
        <v>16170</v>
      </c>
      <c r="AB139" s="75">
        <f>'FY31'!X139</f>
        <v>16740</v>
      </c>
      <c r="AC139" s="194"/>
      <c r="AD139" s="75">
        <f>'FY27'!AD139</f>
        <v>10296</v>
      </c>
      <c r="AE139" s="75">
        <f>'FY28'!AD139</f>
        <v>14736</v>
      </c>
      <c r="AF139" s="75">
        <f>'FY29'!AD139</f>
        <v>22075</v>
      </c>
      <c r="AG139" s="75">
        <f>'FY30'!AD139</f>
        <v>29744</v>
      </c>
      <c r="AH139" s="75">
        <f>'FY31'!AD139</f>
        <v>36747</v>
      </c>
      <c r="AI139" s="194"/>
      <c r="AJ139" s="75">
        <f>'FY27'!AJ139</f>
        <v>0</v>
      </c>
      <c r="AK139" s="75">
        <f>'FY28'!AJ139</f>
        <v>18720</v>
      </c>
      <c r="AL139" s="75">
        <f>'FY29'!AJ139</f>
        <v>22296</v>
      </c>
      <c r="AM139" s="75">
        <f>'FY30'!AJ139</f>
        <v>29204</v>
      </c>
      <c r="AN139" s="75">
        <f>'FY31'!AJ139</f>
        <v>30810</v>
      </c>
      <c r="AP139" s="75">
        <f>'FY26'!AD139</f>
        <v>0</v>
      </c>
      <c r="AQ139" s="75">
        <f>'FY27'!AP139</f>
        <v>0</v>
      </c>
      <c r="AR139" s="75">
        <f>'FY28'!AP139</f>
        <v>0</v>
      </c>
      <c r="AS139" s="75">
        <f>'FY29'!AP139</f>
        <v>0</v>
      </c>
      <c r="AT139" s="75">
        <f>'FY30'!AP139</f>
        <v>0</v>
      </c>
      <c r="AU139" s="75">
        <f>'FY31'!AP139</f>
        <v>0</v>
      </c>
      <c r="AW139" s="75">
        <f>'FY26'!AJ139</f>
        <v>109406</v>
      </c>
      <c r="AX139" s="75">
        <f>'FY27'!AV139</f>
        <v>126933</v>
      </c>
      <c r="AY139" s="75">
        <f>'FY28'!AV139</f>
        <v>156182</v>
      </c>
      <c r="AZ139" s="75">
        <f>'FY29'!AV139</f>
        <v>173582</v>
      </c>
      <c r="BA139" s="75">
        <f>'FY30'!AV139</f>
        <v>194094</v>
      </c>
      <c r="BB139" s="75">
        <f>'FY31'!AV139</f>
        <v>207606</v>
      </c>
      <c r="BD139" s="166"/>
      <c r="BE139" s="166"/>
    </row>
    <row r="140" spans="1:57" x14ac:dyDescent="0.25">
      <c r="A140" s="33" t="s">
        <v>104</v>
      </c>
      <c r="B140" s="75">
        <f>'FY26'!F140</f>
        <v>18375</v>
      </c>
      <c r="C140" s="75">
        <f>'FY27'!F140</f>
        <v>18900</v>
      </c>
      <c r="D140" s="75">
        <f>'FY28'!F140</f>
        <v>19425</v>
      </c>
      <c r="E140" s="75">
        <f>'FY29'!F140</f>
        <v>19950</v>
      </c>
      <c r="F140" s="75">
        <f>'FY30'!F140</f>
        <v>20475</v>
      </c>
      <c r="G140" s="75">
        <f>'FY31'!F140</f>
        <v>21000</v>
      </c>
      <c r="I140" s="75">
        <f>'FY26'!L140</f>
        <v>18375</v>
      </c>
      <c r="J140" s="75">
        <f>'FY27'!L140</f>
        <v>18900</v>
      </c>
      <c r="K140" s="75">
        <f>'FY28'!L140</f>
        <v>19425</v>
      </c>
      <c r="L140" s="75">
        <f>'FY29'!L140</f>
        <v>19950</v>
      </c>
      <c r="M140" s="75">
        <f>'FY30'!L140</f>
        <v>20475</v>
      </c>
      <c r="N140" s="75">
        <f>'FY31'!L140</f>
        <v>21000</v>
      </c>
      <c r="P140" s="75">
        <f>'FY26'!R140</f>
        <v>42000</v>
      </c>
      <c r="Q140" s="75">
        <f>'FY27'!R140</f>
        <v>47520</v>
      </c>
      <c r="R140" s="75">
        <f>'FY28'!R140</f>
        <v>48840</v>
      </c>
      <c r="S140" s="75">
        <f>'FY29'!R140</f>
        <v>51300</v>
      </c>
      <c r="T140" s="75">
        <f>'FY30'!R140</f>
        <v>52650</v>
      </c>
      <c r="U140" s="75">
        <f>'FY31'!R140</f>
        <v>54000</v>
      </c>
      <c r="W140" s="75">
        <f>'FY26'!X140</f>
        <v>8750</v>
      </c>
      <c r="X140" s="75">
        <f>'FY27'!X140</f>
        <v>11000</v>
      </c>
      <c r="Y140" s="75">
        <f>'FY28'!X140</f>
        <v>12600</v>
      </c>
      <c r="Z140" s="75">
        <f>'FY29'!X140</f>
        <v>13200</v>
      </c>
      <c r="AA140" s="75">
        <f>'FY30'!X140</f>
        <v>13500</v>
      </c>
      <c r="AB140" s="75">
        <f>'FY31'!X140</f>
        <v>13800</v>
      </c>
      <c r="AC140" s="194"/>
      <c r="AD140" s="75">
        <f>'FY27'!AD140</f>
        <v>10000</v>
      </c>
      <c r="AE140" s="75">
        <f>'FY28'!AD140</f>
        <v>9250</v>
      </c>
      <c r="AF140" s="75">
        <f>'FY29'!AD140</f>
        <v>13680</v>
      </c>
      <c r="AG140" s="75">
        <f>'FY30'!AD140</f>
        <v>20085</v>
      </c>
      <c r="AH140" s="75">
        <f>'FY31'!AD140</f>
        <v>26000</v>
      </c>
      <c r="AI140" s="194"/>
      <c r="AJ140" s="75">
        <f>'FY27'!AJ140</f>
        <v>0</v>
      </c>
      <c r="AK140" s="75">
        <f>'FY28'!AJ140</f>
        <v>19000</v>
      </c>
      <c r="AL140" s="75">
        <f>'FY29'!AJ140</f>
        <v>19000</v>
      </c>
      <c r="AM140" s="75">
        <f>'FY30'!AJ140</f>
        <v>24860</v>
      </c>
      <c r="AN140" s="75">
        <f>'FY31'!AJ140</f>
        <v>28125</v>
      </c>
      <c r="AP140" s="75">
        <f>'FY26'!AD140</f>
        <v>0</v>
      </c>
      <c r="AQ140" s="75">
        <f>'FY27'!AP140</f>
        <v>0</v>
      </c>
      <c r="AR140" s="75">
        <f>'FY28'!AP140</f>
        <v>0</v>
      </c>
      <c r="AS140" s="75">
        <f>'FY29'!AP140</f>
        <v>0</v>
      </c>
      <c r="AT140" s="75">
        <f>'FY30'!AP140</f>
        <v>0</v>
      </c>
      <c r="AU140" s="75">
        <f>'FY31'!AP140</f>
        <v>0</v>
      </c>
      <c r="AW140" s="75">
        <f>'FY26'!AJ140</f>
        <v>87500</v>
      </c>
      <c r="AX140" s="75">
        <f>'FY27'!AV140</f>
        <v>106320</v>
      </c>
      <c r="AY140" s="75">
        <f>'FY28'!AV140</f>
        <v>128540</v>
      </c>
      <c r="AZ140" s="75">
        <f>'FY29'!AV140</f>
        <v>137080</v>
      </c>
      <c r="BA140" s="75">
        <f>'FY30'!AV140</f>
        <v>152045</v>
      </c>
      <c r="BB140" s="75">
        <f>'FY31'!AV140</f>
        <v>163925</v>
      </c>
      <c r="BD140" s="166"/>
      <c r="BE140" s="166"/>
    </row>
    <row r="141" spans="1:57" x14ac:dyDescent="0.25">
      <c r="A141" s="34"/>
      <c r="B141" s="76">
        <f>'FY26'!F141</f>
        <v>313221</v>
      </c>
      <c r="C141" s="76">
        <f>'FY27'!F141</f>
        <v>321052</v>
      </c>
      <c r="D141" s="76">
        <f>'FY28'!F141</f>
        <v>334133</v>
      </c>
      <c r="E141" s="76">
        <f>'FY29'!F141</f>
        <v>347214</v>
      </c>
      <c r="F141" s="76">
        <f>'FY30'!F141</f>
        <v>355045</v>
      </c>
      <c r="G141" s="76">
        <f>'FY31'!F141</f>
        <v>362876</v>
      </c>
      <c r="I141" s="76">
        <f>'FY26'!L141</f>
        <v>313221</v>
      </c>
      <c r="J141" s="76">
        <f>'FY27'!L141</f>
        <v>321052</v>
      </c>
      <c r="K141" s="76">
        <f>'FY28'!L141</f>
        <v>334133</v>
      </c>
      <c r="L141" s="76">
        <f>'FY29'!L141</f>
        <v>347214</v>
      </c>
      <c r="M141" s="76">
        <f>'FY30'!L141</f>
        <v>355045</v>
      </c>
      <c r="N141" s="76">
        <f>'FY31'!L141</f>
        <v>362876</v>
      </c>
      <c r="P141" s="76">
        <f>'FY26'!R141</f>
        <v>1106251</v>
      </c>
      <c r="Q141" s="76">
        <f>'FY27'!R141</f>
        <v>1117601</v>
      </c>
      <c r="R141" s="76">
        <f>'FY28'!R141</f>
        <v>1151998</v>
      </c>
      <c r="S141" s="76">
        <f>'FY29'!R141</f>
        <v>1201993</v>
      </c>
      <c r="T141" s="76">
        <f>'FY30'!R141</f>
        <v>1266700</v>
      </c>
      <c r="U141" s="76">
        <f>'FY31'!R141</f>
        <v>1300237</v>
      </c>
      <c r="W141" s="76">
        <f>'FY26'!X141</f>
        <v>148268</v>
      </c>
      <c r="X141" s="76">
        <f>'FY27'!X141</f>
        <v>161013</v>
      </c>
      <c r="Y141" s="76">
        <f>'FY28'!X141</f>
        <v>179375</v>
      </c>
      <c r="Z141" s="76">
        <f>'FY29'!X141</f>
        <v>177753</v>
      </c>
      <c r="AA141" s="76">
        <f>'FY30'!X141</f>
        <v>184808</v>
      </c>
      <c r="AB141" s="76">
        <f>'FY31'!X141</f>
        <v>205010</v>
      </c>
      <c r="AC141" s="199"/>
      <c r="AD141" s="76">
        <f>'FY27'!AD141</f>
        <v>103669</v>
      </c>
      <c r="AE141" s="76">
        <f>'FY28'!AD141</f>
        <v>190994</v>
      </c>
      <c r="AF141" s="76">
        <f>'FY29'!AD141</f>
        <v>290059</v>
      </c>
      <c r="AG141" s="76">
        <f>'FY30'!AD141</f>
        <v>386165</v>
      </c>
      <c r="AH141" s="76">
        <f>'FY31'!AD141</f>
        <v>501047</v>
      </c>
      <c r="AI141" s="199"/>
      <c r="AJ141" s="76">
        <f>'FY27'!AJ141</f>
        <v>0</v>
      </c>
      <c r="AK141" s="76">
        <f>'FY28'!AJ141</f>
        <v>254580</v>
      </c>
      <c r="AL141" s="76">
        <f>'FY29'!AJ141</f>
        <v>532919</v>
      </c>
      <c r="AM141" s="76">
        <f>'FY30'!AJ141</f>
        <v>564577</v>
      </c>
      <c r="AN141" s="76">
        <f>'FY31'!AJ141</f>
        <v>380319</v>
      </c>
      <c r="AP141" s="76">
        <f>'FY26'!AD141</f>
        <v>0</v>
      </c>
      <c r="AQ141" s="76">
        <f>'FY27'!AP141</f>
        <v>0</v>
      </c>
      <c r="AR141" s="76">
        <f>'FY28'!AP141</f>
        <v>0</v>
      </c>
      <c r="AS141" s="76">
        <f>'FY29'!AP141</f>
        <v>0</v>
      </c>
      <c r="AT141" s="76">
        <f>'FY30'!AP141</f>
        <v>0</v>
      </c>
      <c r="AU141" s="76">
        <f>'FY31'!AP141</f>
        <v>0</v>
      </c>
      <c r="AW141" s="76">
        <f>'FY26'!AJ141</f>
        <v>1880961</v>
      </c>
      <c r="AX141" s="76">
        <f>'FY27'!AV141</f>
        <v>2024387</v>
      </c>
      <c r="AY141" s="76">
        <f>'FY28'!AV141</f>
        <v>2445213</v>
      </c>
      <c r="AZ141" s="76">
        <f>'FY29'!AV141</f>
        <v>2897152</v>
      </c>
      <c r="BA141" s="76">
        <f>'FY30'!AV141</f>
        <v>3112340</v>
      </c>
      <c r="BB141" s="76">
        <f>'FY31'!AV141</f>
        <v>3112365</v>
      </c>
      <c r="BD141" s="166"/>
      <c r="BE141" s="166"/>
    </row>
    <row r="142" spans="1:57" x14ac:dyDescent="0.25">
      <c r="B142" s="77">
        <f>'FY26'!F142</f>
        <v>0</v>
      </c>
      <c r="C142" s="77">
        <f>'FY27'!F142</f>
        <v>0</v>
      </c>
      <c r="D142" s="77">
        <f>'FY28'!F142</f>
        <v>0</v>
      </c>
      <c r="E142" s="77">
        <f>'FY29'!F142</f>
        <v>0</v>
      </c>
      <c r="F142" s="77">
        <f>'FY30'!F142</f>
        <v>0</v>
      </c>
      <c r="G142" s="77">
        <f>'FY31'!F142</f>
        <v>0</v>
      </c>
      <c r="I142" s="77">
        <f>'FY26'!L142</f>
        <v>0</v>
      </c>
      <c r="J142" s="77">
        <f>'FY27'!L142</f>
        <v>0</v>
      </c>
      <c r="K142" s="77">
        <f>'FY28'!L142</f>
        <v>0</v>
      </c>
      <c r="L142" s="77">
        <f>'FY29'!L142</f>
        <v>0</v>
      </c>
      <c r="M142" s="77">
        <f>'FY30'!L142</f>
        <v>0</v>
      </c>
      <c r="N142" s="77">
        <f>'FY31'!L142</f>
        <v>0</v>
      </c>
      <c r="P142" s="77">
        <f>'FY26'!R142</f>
        <v>0</v>
      </c>
      <c r="Q142" s="77">
        <f>'FY27'!R142</f>
        <v>0</v>
      </c>
      <c r="R142" s="77">
        <f>'FY28'!R142</f>
        <v>0</v>
      </c>
      <c r="S142" s="77">
        <f>'FY29'!R142</f>
        <v>0</v>
      </c>
      <c r="T142" s="77">
        <f>'FY30'!R142</f>
        <v>0</v>
      </c>
      <c r="U142" s="77">
        <f>'FY31'!R142</f>
        <v>0</v>
      </c>
      <c r="W142" s="77">
        <f>'FY26'!X142</f>
        <v>0</v>
      </c>
      <c r="X142" s="77">
        <f>'FY27'!X142</f>
        <v>0</v>
      </c>
      <c r="Y142" s="77">
        <f>'FY28'!X142</f>
        <v>0</v>
      </c>
      <c r="Z142" s="77">
        <f>'FY29'!X142</f>
        <v>0</v>
      </c>
      <c r="AA142" s="77">
        <f>'FY30'!X142</f>
        <v>0</v>
      </c>
      <c r="AB142" s="77">
        <f>'FY31'!X142</f>
        <v>0</v>
      </c>
      <c r="AC142" s="79"/>
      <c r="AD142" s="77">
        <f>'FY27'!AD142</f>
        <v>0</v>
      </c>
      <c r="AE142" s="77">
        <f>'FY28'!AD142</f>
        <v>0</v>
      </c>
      <c r="AF142" s="77">
        <f>'FY29'!AD142</f>
        <v>0</v>
      </c>
      <c r="AG142" s="77">
        <f>'FY30'!AD142</f>
        <v>0</v>
      </c>
      <c r="AH142" s="77">
        <f>'FY31'!AD142</f>
        <v>0</v>
      </c>
      <c r="AI142" s="79"/>
      <c r="AJ142" s="77">
        <f>'FY27'!AJ142</f>
        <v>0</v>
      </c>
      <c r="AK142" s="77">
        <f>'FY28'!AJ142</f>
        <v>0</v>
      </c>
      <c r="AL142" s="77">
        <f>'FY29'!AJ142</f>
        <v>0</v>
      </c>
      <c r="AM142" s="77">
        <f>'FY30'!AJ142</f>
        <v>0</v>
      </c>
      <c r="AN142" s="77">
        <f>'FY31'!AJ142</f>
        <v>0</v>
      </c>
      <c r="AP142" s="77">
        <f>'FY26'!AD142</f>
        <v>0</v>
      </c>
      <c r="AQ142" s="77">
        <f>'FY27'!AP142</f>
        <v>0</v>
      </c>
      <c r="AR142" s="77">
        <f>'FY28'!AP142</f>
        <v>0</v>
      </c>
      <c r="AS142" s="77">
        <f>'FY29'!AP142</f>
        <v>0</v>
      </c>
      <c r="AT142" s="77">
        <f>'FY30'!AP142</f>
        <v>0</v>
      </c>
      <c r="AU142" s="77">
        <f>'FY31'!AP142</f>
        <v>0</v>
      </c>
      <c r="AW142" s="77">
        <f>'FY26'!AJ142</f>
        <v>0</v>
      </c>
      <c r="AX142" s="77">
        <f>'FY27'!AV142</f>
        <v>0</v>
      </c>
      <c r="AY142" s="77">
        <f>'FY28'!AV142</f>
        <v>0</v>
      </c>
      <c r="AZ142" s="77">
        <f>'FY29'!AV142</f>
        <v>0</v>
      </c>
      <c r="BA142" s="77">
        <f>'FY30'!AV142</f>
        <v>0</v>
      </c>
      <c r="BB142" s="77">
        <f>'FY31'!AV142</f>
        <v>0</v>
      </c>
      <c r="BD142" s="166"/>
      <c r="BE142" s="166"/>
    </row>
    <row r="143" spans="1:57" x14ac:dyDescent="0.25">
      <c r="A143" s="28"/>
      <c r="B143" s="78" t="str">
        <f>'FY26'!F143</f>
        <v>FY26- Mtn</v>
      </c>
      <c r="C143" s="78" t="str">
        <f>'FY27'!F143</f>
        <v>FY27- Mtn</v>
      </c>
      <c r="D143" s="78" t="str">
        <f>'FY28'!F143</f>
        <v>FY28- Mtn</v>
      </c>
      <c r="E143" s="78" t="str">
        <f>'FY29'!F143</f>
        <v>FY29- Mtn</v>
      </c>
      <c r="F143" s="78" t="str">
        <f>'FY30'!F143</f>
        <v>FY30- Mtn</v>
      </c>
      <c r="G143" s="78" t="str">
        <f>'FY31'!F143</f>
        <v>FY31- Mtn</v>
      </c>
      <c r="I143" s="78" t="str">
        <f>'FY26'!L143</f>
        <v>FY26- Bon</v>
      </c>
      <c r="J143" s="78" t="str">
        <f>'FY27'!L143</f>
        <v>FY27- Bon</v>
      </c>
      <c r="K143" s="78" t="str">
        <f>'FY28'!L143</f>
        <v>FY28- Bon</v>
      </c>
      <c r="L143" s="78" t="str">
        <f>'FY29'!L143</f>
        <v>FY29- Bon</v>
      </c>
      <c r="M143" s="78" t="str">
        <f>'FY30'!L143</f>
        <v>FY30- Bon</v>
      </c>
      <c r="N143" s="78" t="str">
        <f>'FY31'!L143</f>
        <v>FY31- Bon</v>
      </c>
      <c r="P143" s="78" t="str">
        <f>'FY26'!R143</f>
        <v>FY26- East</v>
      </c>
      <c r="Q143" s="78" t="str">
        <f>'FY27'!R143</f>
        <v>FY27- East</v>
      </c>
      <c r="R143" s="78" t="str">
        <f>'FY28'!R143</f>
        <v>FY28- East</v>
      </c>
      <c r="S143" s="78" t="str">
        <f>'FY29'!R143</f>
        <v>FY29- East</v>
      </c>
      <c r="T143" s="78" t="str">
        <f>'FY30'!R143</f>
        <v>FY30- East</v>
      </c>
      <c r="U143" s="78" t="str">
        <f>'FY31'!R143</f>
        <v>FY31- East</v>
      </c>
      <c r="W143" s="78" t="str">
        <f>'FY26'!X143</f>
        <v>FY26- Cactus</v>
      </c>
      <c r="X143" s="78" t="str">
        <f>'FY27'!X143</f>
        <v>FY27- Cactus</v>
      </c>
      <c r="Y143" s="78" t="str">
        <f>'FY28'!X143</f>
        <v>FY28- Cactus</v>
      </c>
      <c r="Z143" s="78" t="str">
        <f>'FY29'!X143</f>
        <v>FY29- Cactus</v>
      </c>
      <c r="AA143" s="78" t="str">
        <f>'FY30'!X143</f>
        <v>FY30- Cactus</v>
      </c>
      <c r="AB143" s="78" t="str">
        <f>'FY31'!X143</f>
        <v>FY31- Cactus</v>
      </c>
      <c r="AC143" s="201"/>
      <c r="AD143" s="78" t="str">
        <f>'FY27'!AD143</f>
        <v>FY27- Sahara</v>
      </c>
      <c r="AE143" s="78" t="str">
        <f>'FY28'!AD143</f>
        <v>FY28- Sahara</v>
      </c>
      <c r="AF143" s="78" t="str">
        <f>'FY29'!AD143</f>
        <v>FY29- Sahara</v>
      </c>
      <c r="AG143" s="78" t="str">
        <f>'FY30'!AD143</f>
        <v>FY30- Sahara</v>
      </c>
      <c r="AH143" s="78" t="str">
        <f>'FY31'!AD143</f>
        <v>FY31- Sahara</v>
      </c>
      <c r="AI143" s="201"/>
      <c r="AJ143" s="78" t="str">
        <f>'FY27'!AJ143</f>
        <v>FY27- VV</v>
      </c>
      <c r="AK143" s="78" t="str">
        <f>'FY28'!AJ143</f>
        <v>FY27- VV</v>
      </c>
      <c r="AL143" s="78" t="str">
        <f>'FY29'!AJ143</f>
        <v>FY29- VV</v>
      </c>
      <c r="AM143" s="78" t="str">
        <f>'FY30'!AJ143</f>
        <v>FY30- VV</v>
      </c>
      <c r="AN143" s="78" t="str">
        <f>'FY31'!AJ143</f>
        <v>FY31- VV</v>
      </c>
      <c r="AP143" s="78" t="str">
        <f>'FY26'!AD143</f>
        <v>FY26 - Central</v>
      </c>
      <c r="AQ143" s="78" t="str">
        <f>'FY27'!AP143</f>
        <v>FY27 - Central</v>
      </c>
      <c r="AR143" s="78" t="str">
        <f>'FY28'!AP143</f>
        <v>FY28 - Central</v>
      </c>
      <c r="AS143" s="78" t="str">
        <f>'FY29'!AP143</f>
        <v>FY29 - Central</v>
      </c>
      <c r="AT143" s="78" t="str">
        <f>'FY30'!AP143</f>
        <v>FY30 - Central</v>
      </c>
      <c r="AU143" s="78" t="str">
        <f>'FY31'!AP143</f>
        <v>FY31 - Central</v>
      </c>
      <c r="AW143" s="78" t="str">
        <f>'FY26'!AJ143</f>
        <v>FY26- Sys</v>
      </c>
      <c r="AX143" s="78" t="str">
        <f>'FY27'!AV143</f>
        <v>FY27- Sys</v>
      </c>
      <c r="AY143" s="78" t="str">
        <f>'FY28'!AV143</f>
        <v>FY28- Sys</v>
      </c>
      <c r="AZ143" s="78" t="str">
        <f>'FY29'!AV143</f>
        <v>FY29- Sys</v>
      </c>
      <c r="BA143" s="78" t="str">
        <f>'FY30'!AV143</f>
        <v>FY29- Sys</v>
      </c>
      <c r="BB143" s="78" t="str">
        <f>'FY31'!AV143</f>
        <v>FY31- Sys</v>
      </c>
      <c r="BD143" s="166"/>
      <c r="BE143" s="166"/>
    </row>
    <row r="144" spans="1:57" x14ac:dyDescent="0.25">
      <c r="A144" s="35" t="s">
        <v>105</v>
      </c>
      <c r="B144" s="75">
        <f>'FY26'!F144</f>
        <v>30840</v>
      </c>
      <c r="C144" s="75">
        <f>'FY27'!F144</f>
        <v>31868</v>
      </c>
      <c r="D144" s="75">
        <f>'FY28'!F144</f>
        <v>32896</v>
      </c>
      <c r="E144" s="75">
        <f>'FY29'!F144</f>
        <v>33924</v>
      </c>
      <c r="F144" s="75">
        <f>'FY30'!F144</f>
        <v>34952</v>
      </c>
      <c r="G144" s="75">
        <f>'FY31'!F144</f>
        <v>35980</v>
      </c>
      <c r="I144" s="75">
        <f>'FY26'!L144</f>
        <v>30840</v>
      </c>
      <c r="J144" s="75">
        <f>'FY27'!L144</f>
        <v>31868</v>
      </c>
      <c r="K144" s="75">
        <f>'FY28'!L144</f>
        <v>32896</v>
      </c>
      <c r="L144" s="75">
        <f>'FY29'!L144</f>
        <v>33924</v>
      </c>
      <c r="M144" s="75">
        <f>'FY30'!L144</f>
        <v>34952</v>
      </c>
      <c r="N144" s="75">
        <f>'FY31'!L144</f>
        <v>35980</v>
      </c>
      <c r="P144" s="75">
        <f>'FY26'!R144</f>
        <v>73290</v>
      </c>
      <c r="Q144" s="75">
        <f>'FY27'!R144</f>
        <v>76229</v>
      </c>
      <c r="R144" s="75">
        <f>'FY28'!R144</f>
        <v>79296</v>
      </c>
      <c r="S144" s="75">
        <f>'FY29'!R144</f>
        <v>82863</v>
      </c>
      <c r="T144" s="75">
        <f>'FY30'!R144</f>
        <v>85680</v>
      </c>
      <c r="U144" s="75">
        <f>'FY31'!R144</f>
        <v>87885</v>
      </c>
      <c r="W144" s="75">
        <f>'FY26'!X144</f>
        <v>14220</v>
      </c>
      <c r="X144" s="75">
        <f>'FY27'!X144</f>
        <v>17056</v>
      </c>
      <c r="Y144" s="75">
        <f>'FY28'!X144</f>
        <v>18190</v>
      </c>
      <c r="Z144" s="75">
        <f>'FY29'!X144</f>
        <v>19332</v>
      </c>
      <c r="AA144" s="75">
        <f>'FY30'!X144</f>
        <v>19943</v>
      </c>
      <c r="AB144" s="75">
        <f>'FY31'!X144</f>
        <v>19980</v>
      </c>
      <c r="AC144" s="194"/>
      <c r="AD144" s="75">
        <f>'FY27'!AD144</f>
        <v>13728</v>
      </c>
      <c r="AE144" s="75">
        <f>'FY28'!AD144</f>
        <v>19648</v>
      </c>
      <c r="AF144" s="75">
        <f>'FY29'!AD144</f>
        <v>29139</v>
      </c>
      <c r="AG144" s="75">
        <f>'FY30'!AD144</f>
        <v>38896</v>
      </c>
      <c r="AH144" s="75">
        <f>'FY31'!AD144</f>
        <v>47635</v>
      </c>
      <c r="AI144" s="194"/>
      <c r="AJ144" s="75">
        <f>'FY27'!AJ144</f>
        <v>0</v>
      </c>
      <c r="AK144" s="75">
        <f>'FY28'!AJ144</f>
        <v>24960</v>
      </c>
      <c r="AL144" s="75">
        <f>'FY29'!AJ144</f>
        <v>29728</v>
      </c>
      <c r="AM144" s="75">
        <f>'FY30'!AJ144</f>
        <v>37548</v>
      </c>
      <c r="AN144" s="75">
        <f>'FY31'!AJ144</f>
        <v>37999</v>
      </c>
      <c r="AP144" s="75">
        <f>'FY26'!AD144</f>
        <v>6000</v>
      </c>
      <c r="AQ144" s="75">
        <f>'FY27'!AP144</f>
        <v>6250</v>
      </c>
      <c r="AR144" s="75">
        <f>'FY28'!AP144</f>
        <v>6500</v>
      </c>
      <c r="AS144" s="75">
        <f>'FY29'!AP144</f>
        <v>6750</v>
      </c>
      <c r="AT144" s="75">
        <f>'FY30'!AP144</f>
        <v>7000</v>
      </c>
      <c r="AU144" s="75">
        <f>'FY31'!AP144</f>
        <v>7300</v>
      </c>
      <c r="AW144" s="75">
        <f>'FY26'!AJ144</f>
        <v>155190</v>
      </c>
      <c r="AX144" s="75">
        <f>'FY27'!AV144</f>
        <v>176999</v>
      </c>
      <c r="AY144" s="75">
        <f>'FY28'!AV144</f>
        <v>214386</v>
      </c>
      <c r="AZ144" s="75">
        <f>'FY29'!AV144</f>
        <v>235660</v>
      </c>
      <c r="BA144" s="75">
        <f>'FY30'!AV144</f>
        <v>258971</v>
      </c>
      <c r="BB144" s="75">
        <f>'FY31'!AV144</f>
        <v>272759</v>
      </c>
      <c r="BD144" s="166"/>
      <c r="BE144" s="166"/>
    </row>
    <row r="145" spans="1:57" x14ac:dyDescent="0.25">
      <c r="A145" s="32" t="s">
        <v>103</v>
      </c>
      <c r="B145" s="75">
        <f>'FY26'!F145</f>
        <v>3084</v>
      </c>
      <c r="C145" s="75">
        <f>'FY27'!F145</f>
        <v>3341</v>
      </c>
      <c r="D145" s="75">
        <f>'FY28'!F145</f>
        <v>3598</v>
      </c>
      <c r="E145" s="75">
        <f>'FY29'!F145</f>
        <v>3855</v>
      </c>
      <c r="F145" s="75">
        <f>'FY30'!F145</f>
        <v>4112</v>
      </c>
      <c r="G145" s="75">
        <f>'FY31'!F145</f>
        <v>4626</v>
      </c>
      <c r="I145" s="75">
        <f>'FY26'!L145</f>
        <v>3084</v>
      </c>
      <c r="J145" s="75">
        <f>'FY27'!L145</f>
        <v>3341</v>
      </c>
      <c r="K145" s="75">
        <f>'FY28'!L145</f>
        <v>3598</v>
      </c>
      <c r="L145" s="75">
        <f>'FY29'!L145</f>
        <v>3855</v>
      </c>
      <c r="M145" s="75">
        <f>'FY30'!L145</f>
        <v>4112</v>
      </c>
      <c r="N145" s="75">
        <f>'FY31'!L145</f>
        <v>4626</v>
      </c>
      <c r="P145" s="75">
        <f>'FY26'!R145</f>
        <v>7329</v>
      </c>
      <c r="Q145" s="75">
        <f>'FY27'!R145</f>
        <v>7991.75</v>
      </c>
      <c r="R145" s="75">
        <f>'FY28'!R145</f>
        <v>8673</v>
      </c>
      <c r="S145" s="75">
        <f>'FY29'!R145</f>
        <v>9416.25</v>
      </c>
      <c r="T145" s="75">
        <f>'FY30'!R145</f>
        <v>10080</v>
      </c>
      <c r="U145" s="75">
        <f>'FY31'!R145</f>
        <v>11299.5</v>
      </c>
      <c r="W145" s="75">
        <f>'FY26'!X145</f>
        <v>1422</v>
      </c>
      <c r="X145" s="75">
        <f>'FY27'!X145</f>
        <v>2132</v>
      </c>
      <c r="Y145" s="75">
        <f>'FY28'!X145</f>
        <v>2675</v>
      </c>
      <c r="Z145" s="75">
        <f>'FY29'!X145</f>
        <v>3222</v>
      </c>
      <c r="AA145" s="75">
        <f>'FY30'!X145</f>
        <v>3773</v>
      </c>
      <c r="AB145" s="75">
        <f>'FY31'!X145</f>
        <v>4320</v>
      </c>
      <c r="AC145" s="194"/>
      <c r="AD145" s="75">
        <f>'FY27'!AD145</f>
        <v>1716</v>
      </c>
      <c r="AE145" s="75">
        <f>'FY28'!AD145</f>
        <v>2149</v>
      </c>
      <c r="AF145" s="75">
        <f>'FY29'!AD145</f>
        <v>3311.25</v>
      </c>
      <c r="AG145" s="75">
        <f>'FY30'!AD145</f>
        <v>4576</v>
      </c>
      <c r="AH145" s="75">
        <f>'FY31'!AD145</f>
        <v>6124.5</v>
      </c>
      <c r="AI145" s="194"/>
      <c r="AJ145" s="75">
        <f>'FY27'!AJ145</f>
        <v>0</v>
      </c>
      <c r="AK145" s="75">
        <f>'FY28'!AJ145</f>
        <v>3120</v>
      </c>
      <c r="AL145" s="75">
        <f>'FY29'!AJ145</f>
        <v>3716</v>
      </c>
      <c r="AM145" s="75">
        <f>'FY30'!AJ145</f>
        <v>6258</v>
      </c>
      <c r="AN145" s="75">
        <f>'FY31'!AJ145</f>
        <v>7189</v>
      </c>
      <c r="AP145" s="75">
        <f>'FY26'!AD145</f>
        <v>0</v>
      </c>
      <c r="AQ145" s="75">
        <f>'FY27'!AP145</f>
        <v>0</v>
      </c>
      <c r="AR145" s="75">
        <f>'FY28'!AP145</f>
        <v>0</v>
      </c>
      <c r="AS145" s="75">
        <f>'FY29'!AP145</f>
        <v>0</v>
      </c>
      <c r="AT145" s="75">
        <f>'FY30'!AP145</f>
        <v>0</v>
      </c>
      <c r="AU145" s="75">
        <f>'FY31'!AP145</f>
        <v>0</v>
      </c>
      <c r="AW145" s="75">
        <f>'FY26'!AJ145</f>
        <v>14919</v>
      </c>
      <c r="AX145" s="75">
        <f>'FY27'!AV145</f>
        <v>18521.75</v>
      </c>
      <c r="AY145" s="75">
        <f>'FY28'!AV145</f>
        <v>23813</v>
      </c>
      <c r="AZ145" s="75">
        <f>'FY29'!AV145</f>
        <v>27375.5</v>
      </c>
      <c r="BA145" s="75">
        <f>'FY30'!AV145</f>
        <v>32911</v>
      </c>
      <c r="BB145" s="75">
        <f>'FY31'!AV145</f>
        <v>38185</v>
      </c>
      <c r="BD145" s="166"/>
      <c r="BE145" s="166"/>
    </row>
    <row r="146" spans="1:57" x14ac:dyDescent="0.25">
      <c r="A146" s="32" t="s">
        <v>106</v>
      </c>
      <c r="B146" s="75">
        <f>'FY26'!F146</f>
        <v>8224</v>
      </c>
      <c r="C146" s="75">
        <f>'FY27'!F146</f>
        <v>8738</v>
      </c>
      <c r="D146" s="75">
        <f>'FY28'!F146</f>
        <v>9252</v>
      </c>
      <c r="E146" s="75">
        <f>'FY29'!F146</f>
        <v>9766</v>
      </c>
      <c r="F146" s="75">
        <f>'FY30'!F146</f>
        <v>10280</v>
      </c>
      <c r="G146" s="75">
        <f>'FY31'!F146</f>
        <v>10794</v>
      </c>
      <c r="I146" s="75">
        <f>'FY26'!L146</f>
        <v>8224</v>
      </c>
      <c r="J146" s="75">
        <f>'FY27'!L146</f>
        <v>8738</v>
      </c>
      <c r="K146" s="75">
        <f>'FY28'!L146</f>
        <v>9252</v>
      </c>
      <c r="L146" s="75">
        <f>'FY29'!L146</f>
        <v>9766</v>
      </c>
      <c r="M146" s="75">
        <f>'FY30'!L146</f>
        <v>10280</v>
      </c>
      <c r="N146" s="75">
        <f>'FY31'!L146</f>
        <v>10794</v>
      </c>
      <c r="P146" s="75">
        <f>'FY26'!R146</f>
        <v>19544</v>
      </c>
      <c r="Q146" s="75">
        <f>'FY27'!R146</f>
        <v>20901.5</v>
      </c>
      <c r="R146" s="75">
        <f>'FY28'!R146</f>
        <v>22302</v>
      </c>
      <c r="S146" s="75">
        <f>'FY29'!R146</f>
        <v>23854.5</v>
      </c>
      <c r="T146" s="75">
        <f>'FY30'!R146</f>
        <v>25200</v>
      </c>
      <c r="U146" s="75">
        <f>'FY31'!R146</f>
        <v>26365.5</v>
      </c>
      <c r="W146" s="75">
        <f>'FY26'!X146</f>
        <v>3792</v>
      </c>
      <c r="X146" s="75">
        <f>'FY27'!X146</f>
        <v>4797</v>
      </c>
      <c r="Y146" s="75">
        <f>'FY28'!X146</f>
        <v>5350</v>
      </c>
      <c r="Z146" s="75">
        <f>'FY29'!X146</f>
        <v>6444</v>
      </c>
      <c r="AA146" s="75">
        <f>'FY30'!X146</f>
        <v>7007</v>
      </c>
      <c r="AB146" s="75">
        <f>'FY31'!X146</f>
        <v>7155</v>
      </c>
      <c r="AC146" s="194"/>
      <c r="AD146" s="75">
        <f>'FY27'!AD146</f>
        <v>3861</v>
      </c>
      <c r="AE146" s="75">
        <f>'FY28'!AD146</f>
        <v>5526</v>
      </c>
      <c r="AF146" s="75">
        <f>'FY29'!AD146</f>
        <v>8388.5</v>
      </c>
      <c r="AG146" s="75">
        <f>'FY30'!AD146</f>
        <v>11440</v>
      </c>
      <c r="AH146" s="75">
        <f>'FY31'!AD146</f>
        <v>14290.5</v>
      </c>
      <c r="AI146" s="194"/>
      <c r="AJ146" s="75">
        <f>'FY27'!AJ146</f>
        <v>0</v>
      </c>
      <c r="AK146" s="75">
        <f>'FY28'!AJ146</f>
        <v>7020</v>
      </c>
      <c r="AL146" s="75">
        <f>'FY29'!AJ146</f>
        <v>8361</v>
      </c>
      <c r="AM146" s="75">
        <f>'FY30'!AJ146</f>
        <v>12516</v>
      </c>
      <c r="AN146" s="75">
        <f>'FY31'!AJ146</f>
        <v>13351</v>
      </c>
      <c r="AP146" s="75">
        <f>'FY26'!AD146</f>
        <v>0</v>
      </c>
      <c r="AQ146" s="75">
        <f>'FY27'!AP146</f>
        <v>0</v>
      </c>
      <c r="AR146" s="75">
        <f>'FY28'!AP146</f>
        <v>0</v>
      </c>
      <c r="AS146" s="75">
        <f>'FY29'!AP146</f>
        <v>0</v>
      </c>
      <c r="AT146" s="75">
        <f>'FY30'!AP146</f>
        <v>0</v>
      </c>
      <c r="AU146" s="75">
        <f>'FY31'!AP146</f>
        <v>0</v>
      </c>
      <c r="AW146" s="75">
        <f>'FY26'!AJ146</f>
        <v>39784</v>
      </c>
      <c r="AX146" s="75">
        <f>'FY27'!AV146</f>
        <v>47035.5</v>
      </c>
      <c r="AY146" s="75">
        <f>'FY28'!AV146</f>
        <v>58702</v>
      </c>
      <c r="AZ146" s="75">
        <f>'FY29'!AV146</f>
        <v>66580</v>
      </c>
      <c r="BA146" s="75">
        <f>'FY30'!AV146</f>
        <v>76723</v>
      </c>
      <c r="BB146" s="75">
        <f>'FY31'!AV146</f>
        <v>82750</v>
      </c>
      <c r="BD146" s="166"/>
      <c r="BE146" s="166"/>
    </row>
    <row r="147" spans="1:57" x14ac:dyDescent="0.25">
      <c r="A147" s="32" t="s">
        <v>107</v>
      </c>
      <c r="B147" s="75">
        <f>'FY26'!F147</f>
        <v>0</v>
      </c>
      <c r="C147" s="75">
        <f>'FY27'!F147</f>
        <v>0</v>
      </c>
      <c r="D147" s="75">
        <f>'FY28'!F147</f>
        <v>0</v>
      </c>
      <c r="E147" s="75">
        <f>'FY29'!F147</f>
        <v>0</v>
      </c>
      <c r="F147" s="75">
        <f>'FY30'!F147</f>
        <v>0</v>
      </c>
      <c r="G147" s="75">
        <f>'FY31'!F147</f>
        <v>0</v>
      </c>
      <c r="I147" s="75">
        <f>'FY26'!L147</f>
        <v>0</v>
      </c>
      <c r="J147" s="75">
        <f>'FY27'!L147</f>
        <v>0</v>
      </c>
      <c r="K147" s="75">
        <f>'FY28'!L147</f>
        <v>0</v>
      </c>
      <c r="L147" s="75">
        <f>'FY29'!L147</f>
        <v>0</v>
      </c>
      <c r="M147" s="75">
        <f>'FY30'!L147</f>
        <v>0</v>
      </c>
      <c r="N147" s="75">
        <f>'FY31'!L147</f>
        <v>0</v>
      </c>
      <c r="P147" s="75">
        <f>'FY26'!R147</f>
        <v>165000</v>
      </c>
      <c r="Q147" s="75">
        <f>'FY27'!R147</f>
        <v>170000</v>
      </c>
      <c r="R147" s="75">
        <f>'FY28'!R147</f>
        <v>175000</v>
      </c>
      <c r="S147" s="75">
        <f>'FY29'!R147</f>
        <v>180000</v>
      </c>
      <c r="T147" s="75">
        <f>'FY30'!R147</f>
        <v>185000</v>
      </c>
      <c r="U147" s="75">
        <f>'FY31'!R147</f>
        <v>195000</v>
      </c>
      <c r="W147" s="75">
        <f>'FY26'!X147</f>
        <v>0</v>
      </c>
      <c r="X147" s="75">
        <f>'FY27'!X147</f>
        <v>0</v>
      </c>
      <c r="Y147" s="75">
        <f>'FY28'!X147</f>
        <v>0</v>
      </c>
      <c r="Z147" s="75">
        <f>'FY29'!X147</f>
        <v>0</v>
      </c>
      <c r="AA147" s="75">
        <f>'FY30'!X147</f>
        <v>0</v>
      </c>
      <c r="AB147" s="75">
        <f>'FY31'!X147</f>
        <v>0</v>
      </c>
      <c r="AC147" s="194"/>
      <c r="AD147" s="75">
        <f>'FY27'!AD147</f>
        <v>0</v>
      </c>
      <c r="AE147" s="75">
        <f>'FY28'!AD147</f>
        <v>0</v>
      </c>
      <c r="AF147" s="75">
        <f>'FY29'!AD147</f>
        <v>0</v>
      </c>
      <c r="AG147" s="75">
        <f>'FY30'!AD147</f>
        <v>0</v>
      </c>
      <c r="AH147" s="75">
        <f>'FY31'!AD147</f>
        <v>0</v>
      </c>
      <c r="AI147" s="194"/>
      <c r="AJ147" s="75">
        <f>'FY27'!AJ147</f>
        <v>0</v>
      </c>
      <c r="AK147" s="75">
        <f>'FY28'!AJ147</f>
        <v>0</v>
      </c>
      <c r="AL147" s="75">
        <f>'FY29'!AJ147</f>
        <v>0</v>
      </c>
      <c r="AM147" s="75">
        <f>'FY30'!AJ147</f>
        <v>0</v>
      </c>
      <c r="AN147" s="75">
        <f>'FY31'!AJ147</f>
        <v>0</v>
      </c>
      <c r="AP147" s="75">
        <f>'FY26'!AD147</f>
        <v>0</v>
      </c>
      <c r="AQ147" s="75">
        <f>'FY27'!AP147</f>
        <v>0</v>
      </c>
      <c r="AR147" s="75">
        <f>'FY28'!AP147</f>
        <v>0</v>
      </c>
      <c r="AS147" s="75">
        <f>'FY29'!AP147</f>
        <v>0</v>
      </c>
      <c r="AT147" s="75">
        <f>'FY30'!AP147</f>
        <v>0</v>
      </c>
      <c r="AU147" s="75">
        <f>'FY31'!AP147</f>
        <v>0</v>
      </c>
      <c r="AW147" s="75">
        <f>'FY26'!AJ147</f>
        <v>165000</v>
      </c>
      <c r="AX147" s="75">
        <f>'FY27'!AV147</f>
        <v>170000</v>
      </c>
      <c r="AY147" s="75">
        <f>'FY28'!AV147</f>
        <v>175000</v>
      </c>
      <c r="AZ147" s="75">
        <f>'FY29'!AV147</f>
        <v>180000</v>
      </c>
      <c r="BA147" s="75">
        <f>'FY30'!AV147</f>
        <v>185000</v>
      </c>
      <c r="BB147" s="75">
        <f>'FY31'!AV147</f>
        <v>195000</v>
      </c>
      <c r="BD147" s="166"/>
      <c r="BE147" s="166"/>
    </row>
    <row r="148" spans="1:57" x14ac:dyDescent="0.25">
      <c r="A148" s="33" t="s">
        <v>108</v>
      </c>
      <c r="B148" s="75">
        <f>'FY26'!F148</f>
        <v>56540</v>
      </c>
      <c r="C148" s="75">
        <f>'FY27'!F148</f>
        <v>57568</v>
      </c>
      <c r="D148" s="75">
        <f>'FY28'!F148</f>
        <v>58596</v>
      </c>
      <c r="E148" s="75">
        <f>'FY29'!F148</f>
        <v>59624</v>
      </c>
      <c r="F148" s="75">
        <f>'FY30'!F148</f>
        <v>60652</v>
      </c>
      <c r="G148" s="75">
        <f>'FY31'!F148</f>
        <v>61680</v>
      </c>
      <c r="I148" s="75">
        <f>'FY26'!L148</f>
        <v>56540</v>
      </c>
      <c r="J148" s="75">
        <f>'FY27'!L148</f>
        <v>57568</v>
      </c>
      <c r="K148" s="75">
        <f>'FY28'!L148</f>
        <v>58596</v>
      </c>
      <c r="L148" s="75">
        <f>'FY29'!L148</f>
        <v>59624</v>
      </c>
      <c r="M148" s="75">
        <f>'FY30'!L148</f>
        <v>60652</v>
      </c>
      <c r="N148" s="75">
        <f>'FY31'!L148</f>
        <v>61680</v>
      </c>
      <c r="P148" s="75">
        <f>'FY26'!R148</f>
        <v>134365</v>
      </c>
      <c r="Q148" s="75">
        <f>'FY27'!R148</f>
        <v>137704</v>
      </c>
      <c r="R148" s="75">
        <f>'FY28'!R148</f>
        <v>141246</v>
      </c>
      <c r="S148" s="75">
        <f>'FY29'!R148</f>
        <v>145638</v>
      </c>
      <c r="T148" s="75">
        <f>'FY30'!R148</f>
        <v>148680</v>
      </c>
      <c r="U148" s="75">
        <f>'FY31'!R148</f>
        <v>150660</v>
      </c>
      <c r="W148" s="75">
        <f>'FY26'!X148</f>
        <v>26070</v>
      </c>
      <c r="X148" s="75">
        <f>'FY27'!X148</f>
        <v>30381</v>
      </c>
      <c r="Y148" s="75">
        <f>'FY28'!X148</f>
        <v>31565</v>
      </c>
      <c r="Z148" s="75">
        <f>'FY29'!X148</f>
        <v>32757</v>
      </c>
      <c r="AA148" s="75">
        <f>'FY30'!X148</f>
        <v>33957</v>
      </c>
      <c r="AB148" s="75">
        <f>'FY31'!X148</f>
        <v>34560</v>
      </c>
      <c r="AC148" s="194"/>
      <c r="AD148" s="75">
        <f>'FY27'!AD148</f>
        <v>24453</v>
      </c>
      <c r="AE148" s="75">
        <f>'FY28'!AD148</f>
        <v>34998</v>
      </c>
      <c r="AF148" s="75">
        <f>'FY29'!AD148</f>
        <v>51214</v>
      </c>
      <c r="AG148" s="75">
        <f>'FY30'!AD148</f>
        <v>67496</v>
      </c>
      <c r="AH148" s="75">
        <f>'FY31'!AD148</f>
        <v>81660</v>
      </c>
      <c r="AI148" s="194"/>
      <c r="AJ148" s="75">
        <f>'FY27'!AJ148</f>
        <v>0</v>
      </c>
      <c r="AK148" s="75">
        <f>'FY28'!AJ148</f>
        <v>44460</v>
      </c>
      <c r="AL148" s="75">
        <f>'FY29'!AJ148</f>
        <v>52953</v>
      </c>
      <c r="AM148" s="75">
        <f>'FY30'!AJ148</f>
        <v>63623</v>
      </c>
      <c r="AN148" s="75">
        <f>'FY31'!AJ148</f>
        <v>64701</v>
      </c>
      <c r="AP148" s="75">
        <f>'FY26'!AD148</f>
        <v>0</v>
      </c>
      <c r="AQ148" s="75">
        <f>'FY27'!AP148</f>
        <v>0</v>
      </c>
      <c r="AR148" s="75">
        <f>'FY28'!AP148</f>
        <v>0</v>
      </c>
      <c r="AS148" s="75">
        <f>'FY29'!AP148</f>
        <v>0</v>
      </c>
      <c r="AT148" s="75">
        <f>'FY30'!AP148</f>
        <v>0</v>
      </c>
      <c r="AU148" s="75">
        <f>'FY31'!AP148</f>
        <v>0</v>
      </c>
      <c r="AW148" s="75">
        <f>'FY26'!AJ148</f>
        <v>273515</v>
      </c>
      <c r="AX148" s="75">
        <f>'FY27'!AV148</f>
        <v>307674</v>
      </c>
      <c r="AY148" s="75">
        <f>'FY28'!AV148</f>
        <v>369461</v>
      </c>
      <c r="AZ148" s="75">
        <f>'FY29'!AV148</f>
        <v>401810</v>
      </c>
      <c r="BA148" s="75">
        <f>'FY30'!AV148</f>
        <v>435060</v>
      </c>
      <c r="BB148" s="75">
        <f>'FY31'!AV148</f>
        <v>454941</v>
      </c>
      <c r="BD148" s="166"/>
      <c r="BE148" s="166"/>
    </row>
    <row r="149" spans="1:57" x14ac:dyDescent="0.25">
      <c r="A149" s="34"/>
      <c r="B149" s="76">
        <f>'FY26'!F149</f>
        <v>98688</v>
      </c>
      <c r="C149" s="76">
        <f>'FY27'!F149</f>
        <v>101515</v>
      </c>
      <c r="D149" s="76">
        <f>'FY28'!F149</f>
        <v>104342</v>
      </c>
      <c r="E149" s="76">
        <f>'FY29'!F149</f>
        <v>107169</v>
      </c>
      <c r="F149" s="76">
        <f>'FY30'!F149</f>
        <v>109996</v>
      </c>
      <c r="G149" s="76">
        <f>'FY31'!F149</f>
        <v>113080</v>
      </c>
      <c r="I149" s="76">
        <f>'FY26'!L149</f>
        <v>98688</v>
      </c>
      <c r="J149" s="76">
        <f>'FY27'!L149</f>
        <v>101515</v>
      </c>
      <c r="K149" s="76">
        <f>'FY28'!L149</f>
        <v>104342</v>
      </c>
      <c r="L149" s="76">
        <f>'FY29'!L149</f>
        <v>107169</v>
      </c>
      <c r="M149" s="76">
        <f>'FY30'!L149</f>
        <v>109996</v>
      </c>
      <c r="N149" s="76">
        <f>'FY31'!L149</f>
        <v>113080</v>
      </c>
      <c r="P149" s="76">
        <f>'FY26'!R149</f>
        <v>399528</v>
      </c>
      <c r="Q149" s="76">
        <f>'FY27'!R149</f>
        <v>412826.25</v>
      </c>
      <c r="R149" s="76">
        <f>'FY28'!R149</f>
        <v>426517</v>
      </c>
      <c r="S149" s="76">
        <f>'FY29'!R149</f>
        <v>441771.75</v>
      </c>
      <c r="T149" s="76">
        <f>'FY30'!R149</f>
        <v>454640</v>
      </c>
      <c r="U149" s="76">
        <f>'FY31'!R149</f>
        <v>471210</v>
      </c>
      <c r="W149" s="76">
        <f>'FY26'!X149</f>
        <v>45504</v>
      </c>
      <c r="X149" s="76">
        <f>'FY27'!X149</f>
        <v>54366</v>
      </c>
      <c r="Y149" s="76">
        <f>'FY28'!X149</f>
        <v>57780</v>
      </c>
      <c r="Z149" s="76">
        <f>'FY29'!X149</f>
        <v>61755</v>
      </c>
      <c r="AA149" s="76">
        <f>'FY30'!X149</f>
        <v>64680</v>
      </c>
      <c r="AB149" s="76">
        <f>'FY31'!X149</f>
        <v>66015</v>
      </c>
      <c r="AC149" s="199"/>
      <c r="AD149" s="76">
        <f>'FY27'!AD149</f>
        <v>43758</v>
      </c>
      <c r="AE149" s="76">
        <f>'FY28'!AD149</f>
        <v>62321</v>
      </c>
      <c r="AF149" s="76">
        <f>'FY29'!AD149</f>
        <v>92052.75</v>
      </c>
      <c r="AG149" s="76">
        <f>'FY30'!AD149</f>
        <v>122408</v>
      </c>
      <c r="AH149" s="76">
        <f>'FY31'!AD149</f>
        <v>149710</v>
      </c>
      <c r="AI149" s="199"/>
      <c r="AJ149" s="76">
        <f>'FY27'!AJ149</f>
        <v>0</v>
      </c>
      <c r="AK149" s="76">
        <f>'FY28'!AJ149</f>
        <v>79560</v>
      </c>
      <c r="AL149" s="76">
        <f>'FY29'!AJ149</f>
        <v>94758</v>
      </c>
      <c r="AM149" s="76">
        <f>'FY30'!AJ149</f>
        <v>119945</v>
      </c>
      <c r="AN149" s="76">
        <f>'FY31'!AJ149</f>
        <v>123240</v>
      </c>
      <c r="AP149" s="76">
        <f>'FY26'!AD149</f>
        <v>6000</v>
      </c>
      <c r="AQ149" s="76">
        <f>'FY27'!AP149</f>
        <v>6250</v>
      </c>
      <c r="AR149" s="76">
        <f>'FY28'!AP149</f>
        <v>6500</v>
      </c>
      <c r="AS149" s="76">
        <f>'FY29'!AP149</f>
        <v>6750</v>
      </c>
      <c r="AT149" s="76">
        <f>'FY30'!AP149</f>
        <v>7000</v>
      </c>
      <c r="AU149" s="76">
        <f>'FY31'!AP149</f>
        <v>7300</v>
      </c>
      <c r="AW149" s="76">
        <f>'FY26'!AJ149</f>
        <v>648408</v>
      </c>
      <c r="AX149" s="76">
        <f>'FY27'!AV149</f>
        <v>720230.25</v>
      </c>
      <c r="AY149" s="76">
        <f>'FY28'!AV149</f>
        <v>841362</v>
      </c>
      <c r="AZ149" s="76">
        <f>'FY29'!AV149</f>
        <v>911425.5</v>
      </c>
      <c r="BA149" s="76">
        <f>'FY30'!AV149</f>
        <v>988665</v>
      </c>
      <c r="BB149" s="76">
        <f>'FY31'!AV149</f>
        <v>1043635</v>
      </c>
      <c r="BD149" s="166"/>
      <c r="BE149" s="166"/>
    </row>
    <row r="150" spans="1:57" x14ac:dyDescent="0.25">
      <c r="B150" s="77">
        <f>'FY26'!F150</f>
        <v>0</v>
      </c>
      <c r="C150" s="77">
        <f>'FY27'!F150</f>
        <v>0</v>
      </c>
      <c r="D150" s="77">
        <f>'FY28'!F150</f>
        <v>0</v>
      </c>
      <c r="E150" s="77">
        <f>'FY29'!F150</f>
        <v>0</v>
      </c>
      <c r="F150" s="77">
        <f>'FY30'!F150</f>
        <v>0</v>
      </c>
      <c r="G150" s="77">
        <f>'FY31'!F150</f>
        <v>0</v>
      </c>
      <c r="I150" s="77">
        <f>'FY26'!L150</f>
        <v>0</v>
      </c>
      <c r="J150" s="77">
        <f>'FY27'!L150</f>
        <v>0</v>
      </c>
      <c r="K150" s="77">
        <f>'FY28'!L150</f>
        <v>0</v>
      </c>
      <c r="L150" s="77">
        <f>'FY29'!L150</f>
        <v>0</v>
      </c>
      <c r="M150" s="77">
        <f>'FY30'!L150</f>
        <v>0</v>
      </c>
      <c r="N150" s="77">
        <f>'FY31'!L150</f>
        <v>0</v>
      </c>
      <c r="P150" s="77">
        <f>'FY26'!R150</f>
        <v>0</v>
      </c>
      <c r="Q150" s="77">
        <f>'FY27'!R150</f>
        <v>0</v>
      </c>
      <c r="R150" s="77">
        <f>'FY28'!R150</f>
        <v>0</v>
      </c>
      <c r="S150" s="77">
        <f>'FY29'!R150</f>
        <v>0</v>
      </c>
      <c r="T150" s="77">
        <f>'FY30'!R150</f>
        <v>0</v>
      </c>
      <c r="U150" s="77">
        <f>'FY31'!R150</f>
        <v>0</v>
      </c>
      <c r="W150" s="77">
        <f>'FY26'!X150</f>
        <v>0</v>
      </c>
      <c r="X150" s="77">
        <f>'FY27'!X150</f>
        <v>0</v>
      </c>
      <c r="Y150" s="77">
        <f>'FY28'!X150</f>
        <v>0</v>
      </c>
      <c r="Z150" s="77">
        <f>'FY29'!X150</f>
        <v>0</v>
      </c>
      <c r="AA150" s="77">
        <f>'FY30'!X150</f>
        <v>0</v>
      </c>
      <c r="AB150" s="77">
        <f>'FY31'!X150</f>
        <v>0</v>
      </c>
      <c r="AC150" s="79"/>
      <c r="AD150" s="77">
        <f>'FY27'!AD150</f>
        <v>0</v>
      </c>
      <c r="AE150" s="77">
        <f>'FY28'!AD150</f>
        <v>0</v>
      </c>
      <c r="AF150" s="77">
        <f>'FY29'!AD150</f>
        <v>0</v>
      </c>
      <c r="AG150" s="77">
        <f>'FY30'!AD150</f>
        <v>0</v>
      </c>
      <c r="AH150" s="77">
        <f>'FY31'!AD150</f>
        <v>0</v>
      </c>
      <c r="AI150" s="79"/>
      <c r="AJ150" s="77">
        <f>'FY27'!AJ150</f>
        <v>0</v>
      </c>
      <c r="AK150" s="77">
        <f>'FY28'!AJ150</f>
        <v>0</v>
      </c>
      <c r="AL150" s="77">
        <f>'FY29'!AJ150</f>
        <v>0</v>
      </c>
      <c r="AM150" s="77">
        <f>'FY30'!AJ150</f>
        <v>0</v>
      </c>
      <c r="AN150" s="77">
        <f>'FY31'!AJ150</f>
        <v>0</v>
      </c>
      <c r="AP150" s="77">
        <f>'FY26'!AD150</f>
        <v>0</v>
      </c>
      <c r="AQ150" s="77">
        <f>'FY27'!AP150</f>
        <v>0</v>
      </c>
      <c r="AR150" s="77">
        <f>'FY28'!AP150</f>
        <v>0</v>
      </c>
      <c r="AS150" s="77">
        <f>'FY29'!AP150</f>
        <v>0</v>
      </c>
      <c r="AT150" s="77">
        <f>'FY30'!AP150</f>
        <v>0</v>
      </c>
      <c r="AU150" s="77">
        <f>'FY31'!AP150</f>
        <v>0</v>
      </c>
      <c r="AW150" s="77">
        <f>'FY26'!AJ150</f>
        <v>0</v>
      </c>
      <c r="AX150" s="77">
        <f>'FY27'!AV150</f>
        <v>0</v>
      </c>
      <c r="AY150" s="77">
        <f>'FY28'!AV150</f>
        <v>0</v>
      </c>
      <c r="AZ150" s="77">
        <f>'FY29'!AV150</f>
        <v>0</v>
      </c>
      <c r="BA150" s="77">
        <f>'FY30'!AV150</f>
        <v>0</v>
      </c>
      <c r="BB150" s="77">
        <f>'FY31'!AV150</f>
        <v>0</v>
      </c>
      <c r="BD150" s="166"/>
      <c r="BE150" s="166"/>
    </row>
    <row r="151" spans="1:57" x14ac:dyDescent="0.25">
      <c r="A151" s="28"/>
      <c r="B151" s="78" t="str">
        <f>'FY26'!F151</f>
        <v>FY26- Mtn</v>
      </c>
      <c r="C151" s="78" t="str">
        <f>'FY27'!F151</f>
        <v>FY27- Mtn</v>
      </c>
      <c r="D151" s="78" t="str">
        <f>'FY28'!F151</f>
        <v>FY28- Mtn</v>
      </c>
      <c r="E151" s="78" t="str">
        <f>'FY29'!F151</f>
        <v>FY29- Mtn</v>
      </c>
      <c r="F151" s="78" t="str">
        <f>'FY30'!F151</f>
        <v>FY30- Mtn</v>
      </c>
      <c r="G151" s="78" t="str">
        <f>'FY31'!F151</f>
        <v>FY31- Mtn</v>
      </c>
      <c r="I151" s="78" t="str">
        <f>'FY26'!L151</f>
        <v>FY26- Bon</v>
      </c>
      <c r="J151" s="78" t="str">
        <f>'FY27'!L151</f>
        <v>FY27- Bon</v>
      </c>
      <c r="K151" s="78" t="str">
        <f>'FY28'!L151</f>
        <v>FY28- Bon</v>
      </c>
      <c r="L151" s="78" t="str">
        <f>'FY29'!L151</f>
        <v>FY29- Bon</v>
      </c>
      <c r="M151" s="78" t="str">
        <f>'FY30'!L151</f>
        <v>FY30- Bon</v>
      </c>
      <c r="N151" s="78" t="str">
        <f>'FY31'!L151</f>
        <v>FY31- Bon</v>
      </c>
      <c r="P151" s="78" t="str">
        <f>'FY26'!R151</f>
        <v>FY26- East</v>
      </c>
      <c r="Q151" s="78" t="str">
        <f>'FY27'!R151</f>
        <v>FY27- East</v>
      </c>
      <c r="R151" s="78" t="str">
        <f>'FY28'!R151</f>
        <v>FY28- East</v>
      </c>
      <c r="S151" s="78" t="str">
        <f>'FY29'!R151</f>
        <v>FY29- East</v>
      </c>
      <c r="T151" s="78" t="str">
        <f>'FY30'!R151</f>
        <v>FY30- East</v>
      </c>
      <c r="U151" s="78" t="str">
        <f>'FY31'!R151</f>
        <v>FY31- East</v>
      </c>
      <c r="W151" s="78" t="str">
        <f>'FY26'!X151</f>
        <v>FY26- Cactus</v>
      </c>
      <c r="X151" s="78" t="str">
        <f>'FY27'!X151</f>
        <v>FY27- Cactus</v>
      </c>
      <c r="Y151" s="78" t="str">
        <f>'FY28'!X151</f>
        <v>FY28- Cactus</v>
      </c>
      <c r="Z151" s="78" t="str">
        <f>'FY29'!X151</f>
        <v>FY29- Cactus</v>
      </c>
      <c r="AA151" s="78" t="str">
        <f>'FY30'!X151</f>
        <v>FY30- Cactus</v>
      </c>
      <c r="AB151" s="78" t="str">
        <f>'FY31'!X151</f>
        <v>FY31- Cactus</v>
      </c>
      <c r="AC151" s="201"/>
      <c r="AD151" s="78" t="str">
        <f>'FY27'!AD151</f>
        <v>FY27- Sahara</v>
      </c>
      <c r="AE151" s="78" t="str">
        <f>'FY28'!AD151</f>
        <v>FY28- Sahara</v>
      </c>
      <c r="AF151" s="78" t="str">
        <f>'FY29'!AD151</f>
        <v>FY29- Sahara</v>
      </c>
      <c r="AG151" s="78" t="str">
        <f>'FY30'!AD151</f>
        <v>FY30- Sahara</v>
      </c>
      <c r="AH151" s="78" t="str">
        <f>'FY31'!AD151</f>
        <v>FY31- Sahara</v>
      </c>
      <c r="AI151" s="201"/>
      <c r="AJ151" s="78" t="str">
        <f>'FY27'!AJ151</f>
        <v>FY27- VV</v>
      </c>
      <c r="AK151" s="78" t="str">
        <f>'FY28'!AJ151</f>
        <v>FY27- VV</v>
      </c>
      <c r="AL151" s="78" t="str">
        <f>'FY29'!AJ151</f>
        <v>FY29- VV</v>
      </c>
      <c r="AM151" s="78" t="str">
        <f>'FY30'!AJ151</f>
        <v>FY30- VV</v>
      </c>
      <c r="AN151" s="78" t="str">
        <f>'FY31'!AJ151</f>
        <v>FY31- VV</v>
      </c>
      <c r="AP151" s="78" t="str">
        <f>'FY26'!AD151</f>
        <v>FY26 - Central</v>
      </c>
      <c r="AQ151" s="78" t="str">
        <f>'FY27'!AP151</f>
        <v>FY27 - Central</v>
      </c>
      <c r="AR151" s="78" t="str">
        <f>'FY28'!AP151</f>
        <v>FY28 - Central</v>
      </c>
      <c r="AS151" s="78" t="str">
        <f>'FY29'!AP151</f>
        <v>FY29 - Central</v>
      </c>
      <c r="AT151" s="78" t="str">
        <f>'FY30'!AP151</f>
        <v>FY30 - Central</v>
      </c>
      <c r="AU151" s="78" t="str">
        <f>'FY31'!AP151</f>
        <v>FY31 - Central</v>
      </c>
      <c r="AW151" s="78" t="str">
        <f>'FY26'!AJ151</f>
        <v>FY26- Sys</v>
      </c>
      <c r="AX151" s="78" t="str">
        <f>'FY27'!AV151</f>
        <v>FY27- Sys</v>
      </c>
      <c r="AY151" s="78" t="str">
        <f>'FY28'!AV151</f>
        <v>FY28- Sys</v>
      </c>
      <c r="AZ151" s="78" t="str">
        <f>'FY29'!AV151</f>
        <v>FY29- Sys</v>
      </c>
      <c r="BA151" s="78" t="str">
        <f>'FY30'!AV151</f>
        <v>FY29- Sys</v>
      </c>
      <c r="BB151" s="78" t="str">
        <f>'FY31'!AV151</f>
        <v>FY31- Sys</v>
      </c>
      <c r="BD151" s="166"/>
      <c r="BE151" s="166"/>
    </row>
    <row r="152" spans="1:57" x14ac:dyDescent="0.25">
      <c r="A152" s="35" t="s">
        <v>109</v>
      </c>
      <c r="B152" s="75">
        <f>'FY26'!F152</f>
        <v>13000</v>
      </c>
      <c r="C152" s="75">
        <f>'FY27'!F152</f>
        <v>13260</v>
      </c>
      <c r="D152" s="75">
        <f>'FY28'!F152</f>
        <v>13525.2</v>
      </c>
      <c r="E152" s="75">
        <f>'FY29'!F152</f>
        <v>13930.956000000002</v>
      </c>
      <c r="F152" s="75">
        <f>'FY30'!F152</f>
        <v>14209.575120000001</v>
      </c>
      <c r="G152" s="75">
        <f>'FY31'!F152</f>
        <v>14635.862373600001</v>
      </c>
      <c r="I152" s="75">
        <f>'FY26'!L152</f>
        <v>13000</v>
      </c>
      <c r="J152" s="75">
        <f>'FY27'!L152</f>
        <v>13130</v>
      </c>
      <c r="K152" s="75">
        <f>'FY28'!L152</f>
        <v>13525.2</v>
      </c>
      <c r="L152" s="75">
        <f>'FY29'!L152</f>
        <v>13930.956000000002</v>
      </c>
      <c r="M152" s="75">
        <f>'FY30'!L152</f>
        <v>14209.575120000001</v>
      </c>
      <c r="N152" s="75">
        <f>'FY31'!L152</f>
        <v>14635.862373600001</v>
      </c>
      <c r="P152" s="75">
        <f>'FY26'!R152</f>
        <v>24500</v>
      </c>
      <c r="Q152" s="75">
        <f>'FY27'!R152</f>
        <v>25235</v>
      </c>
      <c r="R152" s="75">
        <f>'FY28'!R152</f>
        <v>25992.05</v>
      </c>
      <c r="S152" s="75">
        <f>'FY29'!R152</f>
        <v>26771.8115</v>
      </c>
      <c r="T152" s="75">
        <f>'FY30'!R152</f>
        <v>27574.965844999999</v>
      </c>
      <c r="U152" s="75">
        <f>'FY31'!R152</f>
        <v>28126.4651619</v>
      </c>
      <c r="W152" s="75">
        <f>'FY26'!X152</f>
        <v>0</v>
      </c>
      <c r="X152" s="75">
        <f>'FY27'!X152</f>
        <v>6500</v>
      </c>
      <c r="Y152" s="75">
        <f>'FY28'!X152</f>
        <v>0</v>
      </c>
      <c r="Z152" s="75">
        <f>'FY29'!X152</f>
        <v>0</v>
      </c>
      <c r="AA152" s="75">
        <f>'FY30'!X152</f>
        <v>0</v>
      </c>
      <c r="AB152" s="75">
        <f>'FY31'!X152</f>
        <v>0</v>
      </c>
      <c r="AC152" s="194"/>
      <c r="AD152" s="75">
        <f>'FY27'!AD152</f>
        <v>6500</v>
      </c>
      <c r="AE152" s="75">
        <f>'FY28'!AD152</f>
        <v>6695</v>
      </c>
      <c r="AF152" s="75">
        <f>'FY29'!AD152</f>
        <v>6895.85</v>
      </c>
      <c r="AG152" s="75">
        <f>'FY30'!AD152</f>
        <v>14481.285000000002</v>
      </c>
      <c r="AH152" s="75">
        <f>'FY31'!AD152</f>
        <v>22156.366050000001</v>
      </c>
      <c r="AI152" s="194"/>
      <c r="AJ152" s="75">
        <f>'FY27'!AJ152</f>
        <v>0</v>
      </c>
      <c r="AK152" s="75">
        <f>'FY28'!AJ152</f>
        <v>0</v>
      </c>
      <c r="AL152" s="75">
        <f>'FY29'!AJ152</f>
        <v>0</v>
      </c>
      <c r="AM152" s="75">
        <f>'FY30'!AJ152</f>
        <v>0</v>
      </c>
      <c r="AN152" s="75">
        <f>'FY31'!AJ152</f>
        <v>0</v>
      </c>
      <c r="AP152" s="75">
        <f>'FY26'!AD152</f>
        <v>6500</v>
      </c>
      <c r="AQ152" s="75">
        <f>'FY27'!AP152</f>
        <v>6500</v>
      </c>
      <c r="AR152" s="75">
        <f>'FY28'!AP152</f>
        <v>6500</v>
      </c>
      <c r="AS152" s="75">
        <f>'FY29'!AP152</f>
        <v>6500</v>
      </c>
      <c r="AT152" s="75">
        <f>'FY30'!AP152</f>
        <v>6500</v>
      </c>
      <c r="AU152" s="75">
        <f>'FY31'!AP152</f>
        <v>6500</v>
      </c>
      <c r="AW152" s="75">
        <f>'FY26'!AJ152</f>
        <v>57000</v>
      </c>
      <c r="AX152" s="75">
        <f>'FY27'!AV152</f>
        <v>71125</v>
      </c>
      <c r="AY152" s="75">
        <f>'FY28'!AV152</f>
        <v>66237.45</v>
      </c>
      <c r="AZ152" s="75">
        <f>'FY29'!AV152</f>
        <v>68029.573499999999</v>
      </c>
      <c r="BA152" s="75">
        <f>'FY30'!AV152</f>
        <v>76975.401085000005</v>
      </c>
      <c r="BB152" s="75">
        <f>'FY31'!AV152</f>
        <v>86054.555959100006</v>
      </c>
      <c r="BD152" s="166"/>
      <c r="BE152" s="166"/>
    </row>
    <row r="153" spans="1:57" x14ac:dyDescent="0.25">
      <c r="A153" s="32" t="s">
        <v>110</v>
      </c>
      <c r="B153" s="75">
        <f>'FY26'!F153</f>
        <v>77100</v>
      </c>
      <c r="C153" s="75">
        <f>'FY27'!F153</f>
        <v>79156</v>
      </c>
      <c r="D153" s="75">
        <f>'FY28'!F153</f>
        <v>82240</v>
      </c>
      <c r="E153" s="75">
        <f>'FY29'!F153</f>
        <v>84296</v>
      </c>
      <c r="F153" s="75">
        <f>'FY30'!F153</f>
        <v>87380</v>
      </c>
      <c r="G153" s="75">
        <f>'FY31'!F153</f>
        <v>90464</v>
      </c>
      <c r="I153" s="75">
        <f>'FY26'!L153</f>
        <v>77100</v>
      </c>
      <c r="J153" s="75">
        <f>'FY27'!L153</f>
        <v>79156</v>
      </c>
      <c r="K153" s="75">
        <f>'FY28'!L153</f>
        <v>82240</v>
      </c>
      <c r="L153" s="75">
        <f>'FY29'!L153</f>
        <v>84296</v>
      </c>
      <c r="M153" s="75">
        <f>'FY30'!L153</f>
        <v>87380</v>
      </c>
      <c r="N153" s="75">
        <f>'FY31'!L153</f>
        <v>90464</v>
      </c>
      <c r="P153" s="75">
        <f>'FY26'!R153</f>
        <v>183225</v>
      </c>
      <c r="Q153" s="75">
        <f>'FY27'!R153</f>
        <v>189343</v>
      </c>
      <c r="R153" s="75">
        <f>'FY28'!R153</f>
        <v>198240</v>
      </c>
      <c r="S153" s="75">
        <f>'FY29'!R153</f>
        <v>205902</v>
      </c>
      <c r="T153" s="75">
        <f>'FY30'!R153</f>
        <v>214200</v>
      </c>
      <c r="U153" s="75">
        <f>'FY31'!R153</f>
        <v>220968</v>
      </c>
      <c r="W153" s="75">
        <f>'FY26'!X153</f>
        <v>94800</v>
      </c>
      <c r="X153" s="75">
        <f>'FY27'!X153</f>
        <v>117260</v>
      </c>
      <c r="Y153" s="75">
        <f>'FY28'!X153</f>
        <v>123050</v>
      </c>
      <c r="Z153" s="75">
        <f>'FY29'!X153</f>
        <v>128880</v>
      </c>
      <c r="AA153" s="75">
        <f>'FY30'!X153</f>
        <v>132055</v>
      </c>
      <c r="AB153" s="75">
        <f>'FY31'!X153</f>
        <v>137700</v>
      </c>
      <c r="AC153" s="194"/>
      <c r="AD153" s="75">
        <f>'FY27'!AD153</f>
        <v>94380</v>
      </c>
      <c r="AE153" s="75">
        <f>'FY28'!AD153</f>
        <v>138150</v>
      </c>
      <c r="AF153" s="75">
        <f>'FY29'!AD153</f>
        <v>203090</v>
      </c>
      <c r="AG153" s="75">
        <f>'FY30'!AD153</f>
        <v>268840</v>
      </c>
      <c r="AH153" s="75">
        <f>'FY31'!AD153</f>
        <v>333445</v>
      </c>
      <c r="AI153" s="194"/>
      <c r="AJ153" s="75">
        <f>'FY27'!AJ153</f>
        <v>0</v>
      </c>
      <c r="AK153" s="75">
        <f>'FY28'!AJ153</f>
        <v>171600</v>
      </c>
      <c r="AL153" s="75">
        <f>'FY29'!AJ153</f>
        <v>213670</v>
      </c>
      <c r="AM153" s="75">
        <f>'FY30'!AJ153</f>
        <v>255535</v>
      </c>
      <c r="AN153" s="75">
        <f>'FY31'!AJ153</f>
        <v>261885</v>
      </c>
      <c r="AP153" s="75">
        <f>'FY26'!AD153</f>
        <v>0</v>
      </c>
      <c r="AQ153" s="75">
        <f>'FY27'!AP153</f>
        <v>0</v>
      </c>
      <c r="AR153" s="75">
        <f>'FY28'!AP153</f>
        <v>0</v>
      </c>
      <c r="AS153" s="75">
        <f>'FY29'!AP153</f>
        <v>0</v>
      </c>
      <c r="AT153" s="75">
        <f>'FY30'!AP153</f>
        <v>0</v>
      </c>
      <c r="AU153" s="75">
        <f>'FY31'!AP153</f>
        <v>0</v>
      </c>
      <c r="AW153" s="75">
        <f>'FY26'!AJ153</f>
        <v>432225</v>
      </c>
      <c r="AX153" s="75">
        <f>'FY27'!AV153</f>
        <v>559295</v>
      </c>
      <c r="AY153" s="75">
        <f>'FY28'!AV153</f>
        <v>795520</v>
      </c>
      <c r="AZ153" s="75">
        <f>'FY29'!AV153</f>
        <v>920134</v>
      </c>
      <c r="BA153" s="75">
        <f>'FY30'!AV153</f>
        <v>1045390</v>
      </c>
      <c r="BB153" s="75">
        <f>'FY31'!AV153</f>
        <v>1134926</v>
      </c>
      <c r="BD153" s="166"/>
      <c r="BE153" s="166"/>
    </row>
    <row r="154" spans="1:57" x14ac:dyDescent="0.25">
      <c r="A154" s="32" t="s">
        <v>111</v>
      </c>
      <c r="B154" s="75">
        <f>'FY26'!F154</f>
        <v>49750</v>
      </c>
      <c r="C154" s="75">
        <f>'FY27'!F154</f>
        <v>50700</v>
      </c>
      <c r="D154" s="75">
        <f>'FY28'!F154</f>
        <v>51650</v>
      </c>
      <c r="E154" s="75">
        <f>'FY29'!F154</f>
        <v>52600</v>
      </c>
      <c r="F154" s="75">
        <f>'FY30'!F154</f>
        <v>53550</v>
      </c>
      <c r="G154" s="75">
        <f>'FY31'!F154</f>
        <v>54500</v>
      </c>
      <c r="I154" s="75">
        <f>'FY26'!L154</f>
        <v>78995</v>
      </c>
      <c r="J154" s="75">
        <f>'FY27'!L154</f>
        <v>80790</v>
      </c>
      <c r="K154" s="75">
        <f>'FY28'!L154</f>
        <v>82585</v>
      </c>
      <c r="L154" s="75">
        <f>'FY29'!L154</f>
        <v>84380</v>
      </c>
      <c r="M154" s="75">
        <f>'FY30'!L154</f>
        <v>86175</v>
      </c>
      <c r="N154" s="75">
        <f>'FY31'!L154</f>
        <v>87970</v>
      </c>
      <c r="P154" s="75">
        <f>'FY26'!R154</f>
        <v>160315</v>
      </c>
      <c r="Q154" s="75">
        <f>'FY27'!R154</f>
        <v>166140</v>
      </c>
      <c r="R154" s="75">
        <f>'FY28'!R154</f>
        <v>172075</v>
      </c>
      <c r="S154" s="75">
        <f>'FY29'!R154</f>
        <v>175700</v>
      </c>
      <c r="T154" s="75">
        <f>'FY30'!R154</f>
        <v>181800</v>
      </c>
      <c r="U154" s="75">
        <f>'FY31'!R154</f>
        <v>185480</v>
      </c>
      <c r="W154" s="75">
        <f>'FY26'!X154</f>
        <v>54120</v>
      </c>
      <c r="X154" s="75">
        <f>'FY27'!X154</f>
        <v>57200</v>
      </c>
      <c r="Y154" s="75">
        <f>'FY28'!X154</f>
        <v>58630</v>
      </c>
      <c r="Z154" s="75">
        <f>'FY29'!X154</f>
        <v>60060</v>
      </c>
      <c r="AA154" s="75">
        <f>'FY30'!X154</f>
        <v>61490</v>
      </c>
      <c r="AB154" s="75">
        <f>'FY31'!X154</f>
        <v>62920</v>
      </c>
      <c r="AC154" s="194"/>
      <c r="AD154" s="75">
        <f>'FY27'!AD154</f>
        <v>44000</v>
      </c>
      <c r="AE154" s="75">
        <f>'FY28'!AD154</f>
        <v>65835</v>
      </c>
      <c r="AF154" s="75">
        <f>'FY29'!AD154</f>
        <v>98147.5</v>
      </c>
      <c r="AG154" s="75">
        <f>'FY30'!AD154</f>
        <v>128700</v>
      </c>
      <c r="AH154" s="75">
        <f>'FY31'!AD154</f>
        <v>156860</v>
      </c>
      <c r="AI154" s="194"/>
      <c r="AJ154" s="75">
        <f>'FY27'!AJ154</f>
        <v>0</v>
      </c>
      <c r="AK154" s="75">
        <f>'FY28'!AJ154</f>
        <v>79200</v>
      </c>
      <c r="AL154" s="75">
        <f>'FY29'!AJ154</f>
        <v>93500</v>
      </c>
      <c r="AM154" s="75">
        <f>'FY30'!AJ154</f>
        <v>108240</v>
      </c>
      <c r="AN154" s="75">
        <f>'FY31'!AJ154</f>
        <v>111155</v>
      </c>
      <c r="AP154" s="75">
        <f>'FY26'!AD154</f>
        <v>0</v>
      </c>
      <c r="AQ154" s="75">
        <f>'FY27'!AP154</f>
        <v>0</v>
      </c>
      <c r="AR154" s="75">
        <f>'FY28'!AP154</f>
        <v>0</v>
      </c>
      <c r="AS154" s="75">
        <f>'FY29'!AP154</f>
        <v>0</v>
      </c>
      <c r="AT154" s="75">
        <f>'FY30'!AP154</f>
        <v>0</v>
      </c>
      <c r="AU154" s="75">
        <f>'FY31'!AP154</f>
        <v>0</v>
      </c>
      <c r="AW154" s="75">
        <f>'FY26'!AJ154</f>
        <v>343180</v>
      </c>
      <c r="AX154" s="75">
        <f>'FY27'!AV154</f>
        <v>398830</v>
      </c>
      <c r="AY154" s="75">
        <f>'FY28'!AV154</f>
        <v>509975</v>
      </c>
      <c r="AZ154" s="75">
        <f>'FY29'!AV154</f>
        <v>564387.5</v>
      </c>
      <c r="BA154" s="75">
        <f>'FY30'!AV154</f>
        <v>619955</v>
      </c>
      <c r="BB154" s="75">
        <f>'FY31'!AV154</f>
        <v>658885</v>
      </c>
      <c r="BD154" s="166"/>
      <c r="BE154" s="166"/>
    </row>
    <row r="155" spans="1:57" x14ac:dyDescent="0.25">
      <c r="A155" s="32" t="s">
        <v>112</v>
      </c>
      <c r="B155" s="75">
        <f>'FY26'!F155</f>
        <v>0</v>
      </c>
      <c r="C155" s="75">
        <f>'FY27'!F155</f>
        <v>0</v>
      </c>
      <c r="D155" s="75">
        <f>'FY28'!F155</f>
        <v>0</v>
      </c>
      <c r="E155" s="75">
        <f>'FY29'!F155</f>
        <v>0</v>
      </c>
      <c r="F155" s="75">
        <f>'FY30'!F155</f>
        <v>0</v>
      </c>
      <c r="G155" s="75">
        <f>'FY31'!F155</f>
        <v>0</v>
      </c>
      <c r="I155" s="75">
        <f>'FY26'!L155</f>
        <v>0</v>
      </c>
      <c r="J155" s="75">
        <f>'FY27'!L155</f>
        <v>0</v>
      </c>
      <c r="K155" s="75">
        <f>'FY28'!L155</f>
        <v>0</v>
      </c>
      <c r="L155" s="75">
        <f>'FY29'!L155</f>
        <v>0</v>
      </c>
      <c r="M155" s="75">
        <f>'FY30'!L155</f>
        <v>0</v>
      </c>
      <c r="N155" s="75">
        <f>'FY31'!L155</f>
        <v>0</v>
      </c>
      <c r="P155" s="75">
        <f>'FY26'!R155</f>
        <v>0</v>
      </c>
      <c r="Q155" s="75">
        <f>'FY27'!R155</f>
        <v>0</v>
      </c>
      <c r="R155" s="75">
        <f>'FY28'!R155</f>
        <v>0</v>
      </c>
      <c r="S155" s="75">
        <f>'FY29'!R155</f>
        <v>0</v>
      </c>
      <c r="T155" s="75">
        <f>'FY30'!R155</f>
        <v>0</v>
      </c>
      <c r="U155" s="75">
        <f>'FY31'!R155</f>
        <v>0</v>
      </c>
      <c r="W155" s="75">
        <f>'FY26'!X155</f>
        <v>0</v>
      </c>
      <c r="X155" s="75">
        <f>'FY27'!X155</f>
        <v>0</v>
      </c>
      <c r="Y155" s="75">
        <f>'FY28'!X155</f>
        <v>0</v>
      </c>
      <c r="Z155" s="75">
        <f>'FY29'!X155</f>
        <v>0</v>
      </c>
      <c r="AA155" s="75">
        <f>'FY30'!X155</f>
        <v>0</v>
      </c>
      <c r="AB155" s="75">
        <f>'FY31'!X155</f>
        <v>0</v>
      </c>
      <c r="AC155" s="194"/>
      <c r="AD155" s="75">
        <f>'FY27'!AD155</f>
        <v>0</v>
      </c>
      <c r="AE155" s="75">
        <f>'FY28'!AD155</f>
        <v>0</v>
      </c>
      <c r="AF155" s="75">
        <f>'FY29'!AD155</f>
        <v>0</v>
      </c>
      <c r="AG155" s="75">
        <f>'FY30'!AD155</f>
        <v>0</v>
      </c>
      <c r="AH155" s="75">
        <f>'FY31'!AD155</f>
        <v>0</v>
      </c>
      <c r="AI155" s="194"/>
      <c r="AJ155" s="75">
        <f>'FY27'!AJ155</f>
        <v>0</v>
      </c>
      <c r="AK155" s="75">
        <f>'FY28'!AJ155</f>
        <v>0</v>
      </c>
      <c r="AL155" s="75">
        <f>'FY29'!AJ155</f>
        <v>0</v>
      </c>
      <c r="AM155" s="75">
        <f>'FY30'!AJ155</f>
        <v>0</v>
      </c>
      <c r="AN155" s="75">
        <f>'FY31'!AJ155</f>
        <v>0</v>
      </c>
      <c r="AP155" s="75">
        <f>'FY26'!AD155</f>
        <v>0</v>
      </c>
      <c r="AQ155" s="75">
        <f>'FY27'!AP155</f>
        <v>0</v>
      </c>
      <c r="AR155" s="75">
        <f>'FY28'!AP155</f>
        <v>0</v>
      </c>
      <c r="AS155" s="75">
        <f>'FY29'!AP155</f>
        <v>0</v>
      </c>
      <c r="AT155" s="75">
        <f>'FY30'!AP155</f>
        <v>0</v>
      </c>
      <c r="AU155" s="75">
        <f>'FY31'!AP155</f>
        <v>0</v>
      </c>
      <c r="AW155" s="75">
        <f>'FY26'!AJ155</f>
        <v>0</v>
      </c>
      <c r="AX155" s="75">
        <f>'FY27'!AV155</f>
        <v>0</v>
      </c>
      <c r="AY155" s="75">
        <f>'FY28'!AV155</f>
        <v>0</v>
      </c>
      <c r="AZ155" s="75">
        <f>'FY29'!AV155</f>
        <v>0</v>
      </c>
      <c r="BA155" s="75">
        <f>'FY30'!AV155</f>
        <v>0</v>
      </c>
      <c r="BB155" s="75">
        <f>'FY31'!AV155</f>
        <v>0</v>
      </c>
      <c r="BD155" s="166"/>
      <c r="BE155" s="166"/>
    </row>
    <row r="156" spans="1:57" x14ac:dyDescent="0.25">
      <c r="A156" s="32" t="s">
        <v>113</v>
      </c>
      <c r="B156" s="75">
        <f>'FY26'!F156</f>
        <v>48398.239999999998</v>
      </c>
      <c r="C156" s="75">
        <f>'FY27'!F156</f>
        <v>48758.04</v>
      </c>
      <c r="D156" s="75">
        <f>'FY28'!F156</f>
        <v>49755.200000000004</v>
      </c>
      <c r="E156" s="75">
        <f>'FY29'!F156</f>
        <v>50500.5</v>
      </c>
      <c r="F156" s="75">
        <f>'FY30'!F156</f>
        <v>51271.5</v>
      </c>
      <c r="G156" s="75">
        <f>'FY31'!F156</f>
        <v>52042.5</v>
      </c>
      <c r="I156" s="75">
        <f>'FY26'!L156</f>
        <v>48398.239999999998</v>
      </c>
      <c r="J156" s="75">
        <f>'FY27'!L156</f>
        <v>48758.04</v>
      </c>
      <c r="K156" s="75">
        <f>'FY28'!L156</f>
        <v>49755.200000000004</v>
      </c>
      <c r="L156" s="75">
        <f>'FY29'!L156</f>
        <v>50500.5</v>
      </c>
      <c r="M156" s="75">
        <f>'FY30'!L156</f>
        <v>51271.5</v>
      </c>
      <c r="N156" s="75">
        <f>'FY31'!L156</f>
        <v>52042.5</v>
      </c>
      <c r="P156" s="75">
        <f>'FY26'!R156</f>
        <v>115016.44</v>
      </c>
      <c r="Q156" s="75">
        <f>'FY27'!R156</f>
        <v>116630.37</v>
      </c>
      <c r="R156" s="75">
        <f>'FY28'!R156</f>
        <v>119935.2</v>
      </c>
      <c r="S156" s="75">
        <f>'FY29'!R156</f>
        <v>123352.875</v>
      </c>
      <c r="T156" s="75">
        <f>'FY30'!R156</f>
        <v>125685</v>
      </c>
      <c r="U156" s="75">
        <f>'FY31'!R156</f>
        <v>127119.375</v>
      </c>
      <c r="W156" s="75">
        <f>'FY26'!X156</f>
        <v>22315.920000000002</v>
      </c>
      <c r="X156" s="75">
        <f>'FY27'!X156</f>
        <v>25280.190000000002</v>
      </c>
      <c r="Y156" s="75">
        <f>'FY28'!X156</f>
        <v>25894</v>
      </c>
      <c r="Z156" s="75">
        <f>'FY29'!X156</f>
        <v>26380.125</v>
      </c>
      <c r="AA156" s="75">
        <f>'FY30'!X156</f>
        <v>26882.625</v>
      </c>
      <c r="AB156" s="75">
        <f>'FY31'!X156</f>
        <v>27337.5</v>
      </c>
      <c r="AC156" s="194"/>
      <c r="AD156" s="75">
        <f>'FY27'!AD156</f>
        <v>20347.47</v>
      </c>
      <c r="AE156" s="75">
        <f>'FY28'!AD156</f>
        <v>29717.600000000002</v>
      </c>
      <c r="AF156" s="75">
        <f>'FY29'!AD156</f>
        <v>43377.375</v>
      </c>
      <c r="AG156" s="75">
        <f>'FY30'!AD156</f>
        <v>57057</v>
      </c>
      <c r="AH156" s="75">
        <f>'FY31'!AD156</f>
        <v>68900.625</v>
      </c>
      <c r="AI156" s="194"/>
      <c r="AJ156" s="75">
        <f>'FY27'!AJ156</f>
        <v>0</v>
      </c>
      <c r="AK156" s="75">
        <f>'FY28'!AJ156</f>
        <v>37752</v>
      </c>
      <c r="AL156" s="75">
        <f>'FY29'!AJ156</f>
        <v>45637.125</v>
      </c>
      <c r="AM156" s="75">
        <f>'FY30'!AJ156</f>
        <v>52019.625</v>
      </c>
      <c r="AN156" s="75">
        <f>'FY31'!AJ156</f>
        <v>51991.875</v>
      </c>
      <c r="AP156" s="75">
        <f>'FY26'!AD156</f>
        <v>0</v>
      </c>
      <c r="AQ156" s="75">
        <f>'FY27'!AP156</f>
        <v>0</v>
      </c>
      <c r="AR156" s="75">
        <f>'FY28'!AP156</f>
        <v>0</v>
      </c>
      <c r="AS156" s="75">
        <f>'FY29'!AP156</f>
        <v>0</v>
      </c>
      <c r="AT156" s="75">
        <f>'FY30'!AP156</f>
        <v>0</v>
      </c>
      <c r="AU156" s="75">
        <f>'FY31'!AP156</f>
        <v>0</v>
      </c>
      <c r="AW156" s="75">
        <f>'FY26'!AJ156</f>
        <v>234128.84</v>
      </c>
      <c r="AX156" s="75">
        <f>'FY27'!AV156</f>
        <v>259774.11000000002</v>
      </c>
      <c r="AY156" s="75">
        <f>'FY28'!AV156</f>
        <v>312809.19999999995</v>
      </c>
      <c r="AZ156" s="75">
        <f>'FY29'!AV156</f>
        <v>339748.5</v>
      </c>
      <c r="BA156" s="75">
        <f>'FY30'!AV156</f>
        <v>364187.25</v>
      </c>
      <c r="BB156" s="75">
        <f>'FY31'!AV156</f>
        <v>379434.375</v>
      </c>
      <c r="BD156" s="166"/>
      <c r="BE156" s="166"/>
    </row>
    <row r="157" spans="1:57" x14ac:dyDescent="0.25">
      <c r="A157" s="32" t="s">
        <v>114</v>
      </c>
      <c r="B157" s="75">
        <f>'FY26'!F157</f>
        <v>48398.239999999998</v>
      </c>
      <c r="C157" s="75">
        <f>'FY27'!F157</f>
        <v>48758.04</v>
      </c>
      <c r="D157" s="75">
        <f>'FY28'!F157</f>
        <v>49755.200000000004</v>
      </c>
      <c r="E157" s="75">
        <f>'FY29'!F157</f>
        <v>50500.5</v>
      </c>
      <c r="F157" s="75">
        <f>'FY30'!F157</f>
        <v>51271.5</v>
      </c>
      <c r="G157" s="75">
        <f>'FY31'!F157</f>
        <v>52042.5</v>
      </c>
      <c r="I157" s="75">
        <f>'FY26'!L157</f>
        <v>48398.239999999998</v>
      </c>
      <c r="J157" s="75">
        <f>'FY27'!L157</f>
        <v>48758.04</v>
      </c>
      <c r="K157" s="75">
        <f>'FY28'!L157</f>
        <v>49755.200000000004</v>
      </c>
      <c r="L157" s="75">
        <f>'FY29'!L157</f>
        <v>50500.5</v>
      </c>
      <c r="M157" s="75">
        <f>'FY30'!L157</f>
        <v>51271.5</v>
      </c>
      <c r="N157" s="75">
        <f>'FY31'!L157</f>
        <v>52042.5</v>
      </c>
      <c r="P157" s="75">
        <f>'FY26'!R157</f>
        <v>115016.44</v>
      </c>
      <c r="Q157" s="75">
        <f>'FY27'!R157</f>
        <v>116630.37</v>
      </c>
      <c r="R157" s="75">
        <f>'FY28'!R157</f>
        <v>119935.2</v>
      </c>
      <c r="S157" s="75">
        <f>'FY29'!R157</f>
        <v>123352.875</v>
      </c>
      <c r="T157" s="75">
        <f>'FY30'!R157</f>
        <v>125685</v>
      </c>
      <c r="U157" s="75">
        <f>'FY31'!R157</f>
        <v>127119.375</v>
      </c>
      <c r="W157" s="75">
        <f>'FY26'!X157</f>
        <v>22315.920000000002</v>
      </c>
      <c r="X157" s="75">
        <f>'FY27'!X157</f>
        <v>25280.190000000002</v>
      </c>
      <c r="Y157" s="75">
        <f>'FY28'!X157</f>
        <v>25894</v>
      </c>
      <c r="Z157" s="75">
        <f>'FY29'!X157</f>
        <v>26380.125</v>
      </c>
      <c r="AA157" s="75">
        <f>'FY30'!X157</f>
        <v>26882.625</v>
      </c>
      <c r="AB157" s="75">
        <f>'FY31'!X157</f>
        <v>27337.5</v>
      </c>
      <c r="AC157" s="194"/>
      <c r="AD157" s="75">
        <f>'FY27'!AD157</f>
        <v>20347.47</v>
      </c>
      <c r="AE157" s="75">
        <f>'FY28'!AD157</f>
        <v>29717.600000000002</v>
      </c>
      <c r="AF157" s="75">
        <f>'FY29'!AD157</f>
        <v>43377.375</v>
      </c>
      <c r="AG157" s="75">
        <f>'FY30'!AD157</f>
        <v>57057</v>
      </c>
      <c r="AH157" s="75">
        <f>'FY31'!AD157</f>
        <v>68900.625</v>
      </c>
      <c r="AI157" s="194"/>
      <c r="AJ157" s="75">
        <f>'FY27'!AJ157</f>
        <v>0</v>
      </c>
      <c r="AK157" s="75">
        <f>'FY28'!AJ157</f>
        <v>37752</v>
      </c>
      <c r="AL157" s="75">
        <f>'FY29'!AJ157</f>
        <v>45637.125</v>
      </c>
      <c r="AM157" s="75">
        <f>'FY30'!AJ157</f>
        <v>52019.625</v>
      </c>
      <c r="AN157" s="75">
        <f>'FY31'!AJ157</f>
        <v>51991.875</v>
      </c>
      <c r="AP157" s="75">
        <f>'FY26'!AD157</f>
        <v>0</v>
      </c>
      <c r="AQ157" s="75">
        <f>'FY27'!AP157</f>
        <v>0</v>
      </c>
      <c r="AR157" s="75">
        <f>'FY28'!AP157</f>
        <v>0</v>
      </c>
      <c r="AS157" s="75">
        <f>'FY29'!AP157</f>
        <v>0</v>
      </c>
      <c r="AT157" s="75">
        <f>'FY30'!AP157</f>
        <v>0</v>
      </c>
      <c r="AU157" s="75">
        <f>'FY31'!AP157</f>
        <v>0</v>
      </c>
      <c r="AW157" s="75">
        <f>'FY26'!AJ157</f>
        <v>234128.84</v>
      </c>
      <c r="AX157" s="75">
        <f>'FY27'!AV157</f>
        <v>259774.11000000002</v>
      </c>
      <c r="AY157" s="75">
        <f>'FY28'!AV157</f>
        <v>312809.19999999995</v>
      </c>
      <c r="AZ157" s="75">
        <f>'FY29'!AV157</f>
        <v>339748.5</v>
      </c>
      <c r="BA157" s="75">
        <f>'FY30'!AV157</f>
        <v>364187.25</v>
      </c>
      <c r="BB157" s="75">
        <f>'FY31'!AV157</f>
        <v>379434.375</v>
      </c>
      <c r="BD157" s="166"/>
      <c r="BE157" s="166"/>
    </row>
    <row r="158" spans="1:57" x14ac:dyDescent="0.25">
      <c r="A158" s="33" t="s">
        <v>115</v>
      </c>
      <c r="B158" s="75">
        <f>'FY26'!F158</f>
        <v>0</v>
      </c>
      <c r="C158" s="75">
        <f>'FY27'!F158</f>
        <v>0</v>
      </c>
      <c r="D158" s="75">
        <f>'FY28'!F158</f>
        <v>0</v>
      </c>
      <c r="E158" s="75">
        <f>'FY29'!F158</f>
        <v>0</v>
      </c>
      <c r="F158" s="75">
        <f>'FY30'!F158</f>
        <v>0</v>
      </c>
      <c r="G158" s="75">
        <f>'FY31'!F158</f>
        <v>0</v>
      </c>
      <c r="I158" s="75">
        <f>'FY26'!L158</f>
        <v>0</v>
      </c>
      <c r="J158" s="75">
        <f>'FY27'!L158</f>
        <v>0</v>
      </c>
      <c r="K158" s="75">
        <f>'FY28'!L158</f>
        <v>0</v>
      </c>
      <c r="L158" s="75">
        <f>'FY29'!L158</f>
        <v>0</v>
      </c>
      <c r="M158" s="75">
        <f>'FY30'!L158</f>
        <v>0</v>
      </c>
      <c r="N158" s="75">
        <f>'FY31'!L158</f>
        <v>0</v>
      </c>
      <c r="P158" s="75">
        <f>'FY26'!R158</f>
        <v>0</v>
      </c>
      <c r="Q158" s="75">
        <f>'FY27'!R158</f>
        <v>0</v>
      </c>
      <c r="R158" s="75">
        <f>'FY28'!R158</f>
        <v>0</v>
      </c>
      <c r="S158" s="75">
        <f>'FY29'!R158</f>
        <v>0</v>
      </c>
      <c r="T158" s="75">
        <f>'FY30'!R158</f>
        <v>0</v>
      </c>
      <c r="U158" s="75">
        <f>'FY31'!R158</f>
        <v>0</v>
      </c>
      <c r="W158" s="75">
        <f>'FY26'!X158</f>
        <v>0</v>
      </c>
      <c r="X158" s="75">
        <f>'FY27'!X158</f>
        <v>0</v>
      </c>
      <c r="Y158" s="75">
        <f>'FY28'!X158</f>
        <v>0</v>
      </c>
      <c r="Z158" s="75">
        <f>'FY29'!X158</f>
        <v>0</v>
      </c>
      <c r="AA158" s="75">
        <f>'FY30'!X158</f>
        <v>0</v>
      </c>
      <c r="AB158" s="75">
        <f>'FY31'!X158</f>
        <v>0</v>
      </c>
      <c r="AC158" s="194"/>
      <c r="AD158" s="75">
        <f>'FY27'!AD158</f>
        <v>0</v>
      </c>
      <c r="AE158" s="75">
        <f>'FY28'!AD158</f>
        <v>0</v>
      </c>
      <c r="AF158" s="75">
        <f>'FY29'!AD158</f>
        <v>0</v>
      </c>
      <c r="AG158" s="75">
        <f>'FY30'!AD158</f>
        <v>0</v>
      </c>
      <c r="AH158" s="75">
        <f>'FY31'!AD158</f>
        <v>0</v>
      </c>
      <c r="AI158" s="194"/>
      <c r="AJ158" s="75">
        <f>'FY27'!AJ158</f>
        <v>0</v>
      </c>
      <c r="AK158" s="75">
        <f>'FY28'!AJ158</f>
        <v>0</v>
      </c>
      <c r="AL158" s="75">
        <f>'FY29'!AJ158</f>
        <v>0</v>
      </c>
      <c r="AM158" s="75">
        <f>'FY30'!AJ158</f>
        <v>0</v>
      </c>
      <c r="AN158" s="75">
        <f>'FY31'!AJ158</f>
        <v>0</v>
      </c>
      <c r="AP158" s="75">
        <f>'FY26'!AD158</f>
        <v>0</v>
      </c>
      <c r="AQ158" s="75">
        <f>'FY27'!AP158</f>
        <v>0</v>
      </c>
      <c r="AR158" s="75">
        <f>'FY28'!AP158</f>
        <v>0</v>
      </c>
      <c r="AS158" s="75">
        <f>'FY29'!AP158</f>
        <v>0</v>
      </c>
      <c r="AT158" s="75">
        <f>'FY30'!AP158</f>
        <v>0</v>
      </c>
      <c r="AU158" s="75">
        <f>'FY31'!AP158</f>
        <v>0</v>
      </c>
      <c r="AW158" s="75">
        <f>'FY26'!AJ158</f>
        <v>0</v>
      </c>
      <c r="AX158" s="75">
        <f>'FY27'!AV158</f>
        <v>0</v>
      </c>
      <c r="AY158" s="75">
        <f>'FY28'!AV158</f>
        <v>0</v>
      </c>
      <c r="AZ158" s="75">
        <f>'FY29'!AV158</f>
        <v>0</v>
      </c>
      <c r="BA158" s="75">
        <f>'FY30'!AV158</f>
        <v>0</v>
      </c>
      <c r="BB158" s="75">
        <f>'FY31'!AV158</f>
        <v>0</v>
      </c>
      <c r="BD158" s="166"/>
      <c r="BE158" s="166"/>
    </row>
    <row r="159" spans="1:57" x14ac:dyDescent="0.25">
      <c r="A159" s="34"/>
      <c r="B159" s="76">
        <f>'FY26'!F159</f>
        <v>236646.47999999998</v>
      </c>
      <c r="C159" s="76">
        <f>'FY27'!F159</f>
        <v>240632.08000000002</v>
      </c>
      <c r="D159" s="76">
        <f>'FY28'!F159</f>
        <v>246925.60000000003</v>
      </c>
      <c r="E159" s="76">
        <f>'FY29'!F159</f>
        <v>251827.95600000001</v>
      </c>
      <c r="F159" s="76">
        <f>'FY30'!F159</f>
        <v>257682.57511999999</v>
      </c>
      <c r="G159" s="76">
        <f>'FY31'!F159</f>
        <v>263684.86237360002</v>
      </c>
      <c r="I159" s="76">
        <f>'FY26'!L159</f>
        <v>265891.48</v>
      </c>
      <c r="J159" s="76">
        <f>'FY27'!L159</f>
        <v>270592.08</v>
      </c>
      <c r="K159" s="76">
        <f>'FY28'!L159</f>
        <v>277860.60000000003</v>
      </c>
      <c r="L159" s="76">
        <f>'FY29'!L159</f>
        <v>283607.95600000001</v>
      </c>
      <c r="M159" s="76">
        <f>'FY30'!L159</f>
        <v>290307.57511999999</v>
      </c>
      <c r="N159" s="76">
        <f>'FY31'!L159</f>
        <v>297154.86237360002</v>
      </c>
      <c r="P159" s="76">
        <f>'FY26'!R159</f>
        <v>598072.88</v>
      </c>
      <c r="Q159" s="76">
        <f>'FY27'!R159</f>
        <v>613978.74</v>
      </c>
      <c r="R159" s="76">
        <f>'FY28'!R159</f>
        <v>636177.44999999995</v>
      </c>
      <c r="S159" s="76">
        <f>'FY29'!R159</f>
        <v>655079.56150000007</v>
      </c>
      <c r="T159" s="76">
        <f>'FY30'!R159</f>
        <v>674944.965845</v>
      </c>
      <c r="U159" s="76">
        <f>'FY31'!R159</f>
        <v>688813.21516190004</v>
      </c>
      <c r="W159" s="76">
        <f>'FY26'!X159</f>
        <v>193551.84000000003</v>
      </c>
      <c r="X159" s="76">
        <f>'FY27'!X159</f>
        <v>231520.38</v>
      </c>
      <c r="Y159" s="76">
        <f>'FY28'!X159</f>
        <v>233468</v>
      </c>
      <c r="Z159" s="76">
        <f>'FY29'!X159</f>
        <v>241700.25</v>
      </c>
      <c r="AA159" s="76">
        <f>'FY30'!X159</f>
        <v>247310.25</v>
      </c>
      <c r="AB159" s="76">
        <f>'FY31'!X159</f>
        <v>255295</v>
      </c>
      <c r="AC159" s="199"/>
      <c r="AD159" s="76">
        <f>'FY27'!AD159</f>
        <v>185574.94</v>
      </c>
      <c r="AE159" s="76">
        <f>'FY28'!AD159</f>
        <v>270115.20000000001</v>
      </c>
      <c r="AF159" s="76">
        <f>'FY29'!AD159</f>
        <v>394888.1</v>
      </c>
      <c r="AG159" s="76">
        <f>'FY30'!AD159</f>
        <v>526135.28499999992</v>
      </c>
      <c r="AH159" s="76">
        <f>'FY31'!AD159</f>
        <v>650262.61605000007</v>
      </c>
      <c r="AI159" s="199"/>
      <c r="AJ159" s="76">
        <f>'FY27'!AJ159</f>
        <v>0</v>
      </c>
      <c r="AK159" s="76">
        <f>'FY28'!AJ159</f>
        <v>326304</v>
      </c>
      <c r="AL159" s="76">
        <f>'FY29'!AJ159</f>
        <v>398444.25</v>
      </c>
      <c r="AM159" s="76">
        <f>'FY30'!AJ159</f>
        <v>467814.25</v>
      </c>
      <c r="AN159" s="76">
        <f>'FY31'!AJ159</f>
        <v>477023.75</v>
      </c>
      <c r="AP159" s="76">
        <f>'FY26'!AD159</f>
        <v>6500</v>
      </c>
      <c r="AQ159" s="76">
        <f>'FY27'!AP159</f>
        <v>6500</v>
      </c>
      <c r="AR159" s="76">
        <f>'FY28'!AP159</f>
        <v>6500</v>
      </c>
      <c r="AS159" s="76">
        <f>'FY29'!AP159</f>
        <v>6500</v>
      </c>
      <c r="AT159" s="76">
        <f>'FY30'!AP159</f>
        <v>6500</v>
      </c>
      <c r="AU159" s="76">
        <f>'FY31'!AP159</f>
        <v>6500</v>
      </c>
      <c r="AW159" s="76">
        <f>'FY26'!AJ159</f>
        <v>1300662.6800000002</v>
      </c>
      <c r="AX159" s="76">
        <f>'FY27'!AV159</f>
        <v>1548798.2200000002</v>
      </c>
      <c r="AY159" s="76">
        <f>'FY28'!AV159</f>
        <v>1997350.8499999999</v>
      </c>
      <c r="AZ159" s="76">
        <f>'FY29'!AV159</f>
        <v>2232048.0734999999</v>
      </c>
      <c r="BA159" s="76">
        <f>'FY30'!AV159</f>
        <v>2470694.901085</v>
      </c>
      <c r="BB159" s="76">
        <f>'FY31'!AV159</f>
        <v>2638734.3059590999</v>
      </c>
      <c r="BD159" s="166"/>
      <c r="BE159" s="166"/>
    </row>
    <row r="160" spans="1:57" x14ac:dyDescent="0.25">
      <c r="B160" s="77">
        <f>'FY26'!F160</f>
        <v>0</v>
      </c>
      <c r="C160" s="77">
        <f>'FY27'!F160</f>
        <v>0</v>
      </c>
      <c r="D160" s="77">
        <f>'FY28'!F160</f>
        <v>0</v>
      </c>
      <c r="E160" s="77">
        <f>'FY29'!F160</f>
        <v>0</v>
      </c>
      <c r="F160" s="77">
        <f>'FY30'!F160</f>
        <v>0</v>
      </c>
      <c r="G160" s="77">
        <f>'FY31'!F160</f>
        <v>0</v>
      </c>
      <c r="I160" s="77">
        <f>'FY26'!L160</f>
        <v>0</v>
      </c>
      <c r="J160" s="77">
        <f>'FY27'!L160</f>
        <v>0</v>
      </c>
      <c r="K160" s="77">
        <f>'FY28'!L160</f>
        <v>0</v>
      </c>
      <c r="L160" s="77">
        <f>'FY29'!L160</f>
        <v>0</v>
      </c>
      <c r="M160" s="77">
        <f>'FY30'!L160</f>
        <v>0</v>
      </c>
      <c r="N160" s="77">
        <f>'FY31'!L160</f>
        <v>0</v>
      </c>
      <c r="P160" s="77">
        <f>'FY26'!R160</f>
        <v>0</v>
      </c>
      <c r="Q160" s="77">
        <f>'FY27'!R160</f>
        <v>0</v>
      </c>
      <c r="R160" s="77">
        <f>'FY28'!R160</f>
        <v>0</v>
      </c>
      <c r="S160" s="77">
        <f>'FY29'!R160</f>
        <v>0</v>
      </c>
      <c r="T160" s="77">
        <f>'FY30'!R160</f>
        <v>0</v>
      </c>
      <c r="U160" s="77">
        <f>'FY31'!R160</f>
        <v>0</v>
      </c>
      <c r="W160" s="77">
        <f>'FY26'!X160</f>
        <v>0</v>
      </c>
      <c r="X160" s="77">
        <f>'FY27'!X160</f>
        <v>0</v>
      </c>
      <c r="Y160" s="77">
        <f>'FY28'!X160</f>
        <v>0</v>
      </c>
      <c r="Z160" s="77">
        <f>'FY29'!X160</f>
        <v>0</v>
      </c>
      <c r="AA160" s="77">
        <f>'FY30'!X160</f>
        <v>0</v>
      </c>
      <c r="AB160" s="77">
        <f>'FY31'!X160</f>
        <v>0</v>
      </c>
      <c r="AC160" s="79"/>
      <c r="AD160" s="77">
        <f>'FY27'!AD160</f>
        <v>0</v>
      </c>
      <c r="AE160" s="77">
        <f>'FY28'!AD160</f>
        <v>0</v>
      </c>
      <c r="AF160" s="77">
        <f>'FY29'!AD160</f>
        <v>0</v>
      </c>
      <c r="AG160" s="77">
        <f>'FY30'!AD160</f>
        <v>0</v>
      </c>
      <c r="AH160" s="77">
        <f>'FY31'!AD160</f>
        <v>0</v>
      </c>
      <c r="AI160" s="79"/>
      <c r="AJ160" s="77">
        <f>'FY27'!AJ160</f>
        <v>0</v>
      </c>
      <c r="AK160" s="77">
        <f>'FY28'!AJ160</f>
        <v>0</v>
      </c>
      <c r="AL160" s="77">
        <f>'FY29'!AJ160</f>
        <v>0</v>
      </c>
      <c r="AM160" s="77">
        <f>'FY30'!AJ160</f>
        <v>0</v>
      </c>
      <c r="AN160" s="77">
        <f>'FY31'!AJ160</f>
        <v>0</v>
      </c>
      <c r="AP160" s="77">
        <f>'FY26'!AD160</f>
        <v>0</v>
      </c>
      <c r="AQ160" s="77">
        <f>'FY27'!AP160</f>
        <v>0</v>
      </c>
      <c r="AR160" s="77">
        <f>'FY28'!AP160</f>
        <v>0</v>
      </c>
      <c r="AS160" s="77">
        <f>'FY29'!AP160</f>
        <v>0</v>
      </c>
      <c r="AT160" s="77">
        <f>'FY30'!AP160</f>
        <v>0</v>
      </c>
      <c r="AU160" s="77">
        <f>'FY31'!AP160</f>
        <v>0</v>
      </c>
      <c r="AW160" s="77">
        <f>'FY26'!AJ160</f>
        <v>0</v>
      </c>
      <c r="AX160" s="77">
        <f>'FY27'!AV160</f>
        <v>0</v>
      </c>
      <c r="AY160" s="77">
        <f>'FY28'!AV160</f>
        <v>0</v>
      </c>
      <c r="AZ160" s="77">
        <f>'FY29'!AV160</f>
        <v>0</v>
      </c>
      <c r="BA160" s="77">
        <f>'FY30'!AV160</f>
        <v>0</v>
      </c>
      <c r="BB160" s="77">
        <f>'FY31'!AV160</f>
        <v>0</v>
      </c>
      <c r="BD160" s="166"/>
      <c r="BE160" s="166"/>
    </row>
    <row r="161" spans="1:57" x14ac:dyDescent="0.25">
      <c r="A161" s="28"/>
      <c r="B161" s="78" t="str">
        <f>'FY26'!F161</f>
        <v>FY26- Mtn</v>
      </c>
      <c r="C161" s="78" t="str">
        <f>'FY27'!F161</f>
        <v>FY27- Mtn</v>
      </c>
      <c r="D161" s="78" t="str">
        <f>'FY28'!F161</f>
        <v>FY28- Mtn</v>
      </c>
      <c r="E161" s="78" t="str">
        <f>'FY29'!F161</f>
        <v>FY29- Mtn</v>
      </c>
      <c r="F161" s="78" t="str">
        <f>'FY30'!F161</f>
        <v>FY30- Mtn</v>
      </c>
      <c r="G161" s="78" t="str">
        <f>'FY31'!F161</f>
        <v>FY31- Mtn</v>
      </c>
      <c r="I161" s="78" t="str">
        <f>'FY26'!L161</f>
        <v>FY26- Bon</v>
      </c>
      <c r="J161" s="78" t="str">
        <f>'FY27'!L161</f>
        <v>FY27- Bon</v>
      </c>
      <c r="K161" s="78" t="str">
        <f>'FY28'!L161</f>
        <v>FY28- Bon</v>
      </c>
      <c r="L161" s="78" t="str">
        <f>'FY29'!L161</f>
        <v>FY29- Bon</v>
      </c>
      <c r="M161" s="78" t="str">
        <f>'FY30'!L161</f>
        <v>FY30- Bon</v>
      </c>
      <c r="N161" s="78" t="str">
        <f>'FY31'!L161</f>
        <v>FY31- Bon</v>
      </c>
      <c r="P161" s="78" t="str">
        <f>'FY26'!R161</f>
        <v>FY26- East</v>
      </c>
      <c r="Q161" s="78" t="str">
        <f>'FY27'!R161</f>
        <v>FY27- East</v>
      </c>
      <c r="R161" s="78" t="str">
        <f>'FY28'!R161</f>
        <v>FY28- East</v>
      </c>
      <c r="S161" s="78" t="str">
        <f>'FY29'!R161</f>
        <v>FY29- East</v>
      </c>
      <c r="T161" s="78" t="str">
        <f>'FY30'!R161</f>
        <v>FY30- East</v>
      </c>
      <c r="U161" s="78" t="str">
        <f>'FY31'!R161</f>
        <v>FY31- East</v>
      </c>
      <c r="W161" s="78" t="str">
        <f>'FY26'!X161</f>
        <v>FY26- Cactus</v>
      </c>
      <c r="X161" s="78" t="str">
        <f>'FY27'!X161</f>
        <v>FY27- Cactus</v>
      </c>
      <c r="Y161" s="78" t="str">
        <f>'FY28'!X161</f>
        <v>FY28- Cactus</v>
      </c>
      <c r="Z161" s="78" t="str">
        <f>'FY29'!X161</f>
        <v>FY29- Cactus</v>
      </c>
      <c r="AA161" s="78" t="str">
        <f>'FY30'!X161</f>
        <v>FY30- Cactus</v>
      </c>
      <c r="AB161" s="78" t="str">
        <f>'FY31'!X161</f>
        <v>FY31- Cactus</v>
      </c>
      <c r="AC161" s="201"/>
      <c r="AD161" s="78" t="str">
        <f>'FY27'!AD161</f>
        <v>FY27- Sahara</v>
      </c>
      <c r="AE161" s="78" t="str">
        <f>'FY28'!AD161</f>
        <v>FY28- Sahara</v>
      </c>
      <c r="AF161" s="78" t="str">
        <f>'FY29'!AD161</f>
        <v>FY29- Sahara</v>
      </c>
      <c r="AG161" s="78" t="str">
        <f>'FY30'!AD161</f>
        <v>FY30- Sahara</v>
      </c>
      <c r="AH161" s="78" t="str">
        <f>'FY31'!AD161</f>
        <v>FY31- Sahara</v>
      </c>
      <c r="AI161" s="201"/>
      <c r="AJ161" s="78" t="str">
        <f>'FY27'!AJ161</f>
        <v>FY27- VV</v>
      </c>
      <c r="AK161" s="78" t="str">
        <f>'FY28'!AJ161</f>
        <v>FY27- VV</v>
      </c>
      <c r="AL161" s="78" t="str">
        <f>'FY29'!AJ161</f>
        <v>FY29- VV</v>
      </c>
      <c r="AM161" s="78" t="str">
        <f>'FY30'!AJ161</f>
        <v>FY30- VV</v>
      </c>
      <c r="AN161" s="78" t="str">
        <f>'FY31'!AJ161</f>
        <v>FY31- VV</v>
      </c>
      <c r="AP161" s="78" t="str">
        <f>'FY26'!AD161</f>
        <v>FY26 - Central</v>
      </c>
      <c r="AQ161" s="78" t="str">
        <f>'FY27'!AP161</f>
        <v>FY27 - Central</v>
      </c>
      <c r="AR161" s="78" t="str">
        <f>'FY28'!AP161</f>
        <v>FY28 - Central</v>
      </c>
      <c r="AS161" s="78" t="str">
        <f>'FY29'!AP161</f>
        <v>FY29 - Central</v>
      </c>
      <c r="AT161" s="78" t="str">
        <f>'FY30'!AP161</f>
        <v>FY30 - Central</v>
      </c>
      <c r="AU161" s="78" t="str">
        <f>'FY31'!AP161</f>
        <v>FY31 - Central</v>
      </c>
      <c r="AW161" s="78" t="str">
        <f>'FY26'!AJ161</f>
        <v>FY26- Sys</v>
      </c>
      <c r="AX161" s="78" t="str">
        <f>'FY27'!AV161</f>
        <v>FY27- Sys</v>
      </c>
      <c r="AY161" s="78" t="str">
        <f>'FY28'!AV161</f>
        <v>FY28- Sys</v>
      </c>
      <c r="AZ161" s="78" t="str">
        <f>'FY29'!AV161</f>
        <v>FY29- Sys</v>
      </c>
      <c r="BA161" s="78" t="str">
        <f>'FY30'!AV161</f>
        <v>FY29- Sys</v>
      </c>
      <c r="BB161" s="78" t="str">
        <f>'FY31'!AV161</f>
        <v>FY31- Sys</v>
      </c>
      <c r="BD161" s="166"/>
      <c r="BE161" s="166"/>
    </row>
    <row r="162" spans="1:57" x14ac:dyDescent="0.25">
      <c r="A162" s="35" t="s">
        <v>109</v>
      </c>
      <c r="B162" s="75">
        <f>'FY26'!F162</f>
        <v>5000</v>
      </c>
      <c r="C162" s="75">
        <f>'FY27'!F162</f>
        <v>5000</v>
      </c>
      <c r="D162" s="75">
        <f>'FY28'!F162</f>
        <v>5000</v>
      </c>
      <c r="E162" s="75">
        <f>'FY29'!F162</f>
        <v>5500</v>
      </c>
      <c r="F162" s="75">
        <f>'FY30'!F162</f>
        <v>5500</v>
      </c>
      <c r="G162" s="75">
        <f>'FY31'!F162</f>
        <v>5500</v>
      </c>
      <c r="I162" s="75">
        <f>'FY26'!L162</f>
        <v>5000</v>
      </c>
      <c r="J162" s="75">
        <f>'FY27'!L162</f>
        <v>5000</v>
      </c>
      <c r="K162" s="75">
        <f>'FY28'!L162</f>
        <v>5000</v>
      </c>
      <c r="L162" s="75">
        <f>'FY29'!L162</f>
        <v>5500</v>
      </c>
      <c r="M162" s="75">
        <f>'FY30'!L162</f>
        <v>5500</v>
      </c>
      <c r="N162" s="75">
        <f>'FY31'!L162</f>
        <v>5500</v>
      </c>
      <c r="P162" s="75">
        <f>'FY26'!R162</f>
        <v>5000</v>
      </c>
      <c r="Q162" s="75">
        <f>'FY27'!R162</f>
        <v>5000</v>
      </c>
      <c r="R162" s="75">
        <f>'FY28'!R162</f>
        <v>5000</v>
      </c>
      <c r="S162" s="75">
        <f>'FY29'!R162</f>
        <v>5500</v>
      </c>
      <c r="T162" s="75">
        <f>'FY30'!R162</f>
        <v>5500</v>
      </c>
      <c r="U162" s="75">
        <f>'FY31'!R162</f>
        <v>5500</v>
      </c>
      <c r="W162" s="75">
        <f>'FY26'!X162</f>
        <v>0</v>
      </c>
      <c r="X162" s="75">
        <f>'FY27'!X162</f>
        <v>0</v>
      </c>
      <c r="Y162" s="75">
        <f>'FY28'!X162</f>
        <v>0</v>
      </c>
      <c r="Z162" s="75">
        <f>'FY29'!X162</f>
        <v>0</v>
      </c>
      <c r="AA162" s="75">
        <f>'FY30'!X162</f>
        <v>0</v>
      </c>
      <c r="AB162" s="75">
        <f>'FY31'!X162</f>
        <v>0</v>
      </c>
      <c r="AC162" s="194"/>
      <c r="AD162" s="75">
        <f>'FY27'!AD162</f>
        <v>0</v>
      </c>
      <c r="AE162" s="75">
        <f>'FY28'!AD162</f>
        <v>0</v>
      </c>
      <c r="AF162" s="75">
        <f>'FY29'!AD162</f>
        <v>0</v>
      </c>
      <c r="AG162" s="75">
        <f>'FY30'!AD162</f>
        <v>0</v>
      </c>
      <c r="AH162" s="75">
        <f>'FY31'!AD162</f>
        <v>0</v>
      </c>
      <c r="AI162" s="194"/>
      <c r="AJ162" s="75">
        <f>'FY27'!AJ162</f>
        <v>0</v>
      </c>
      <c r="AK162" s="75">
        <f>'FY28'!AJ162</f>
        <v>0</v>
      </c>
      <c r="AL162" s="75">
        <f>'FY29'!AJ162</f>
        <v>0</v>
      </c>
      <c r="AM162" s="75">
        <f>'FY30'!AJ162</f>
        <v>0</v>
      </c>
      <c r="AN162" s="75">
        <f>'FY31'!AJ162</f>
        <v>0</v>
      </c>
      <c r="AP162" s="75">
        <f>'FY26'!AD162</f>
        <v>0</v>
      </c>
      <c r="AQ162" s="75">
        <f>'FY27'!AP162</f>
        <v>0</v>
      </c>
      <c r="AR162" s="75">
        <f>'FY28'!AP162</f>
        <v>0</v>
      </c>
      <c r="AS162" s="75">
        <f>'FY29'!AP162</f>
        <v>0</v>
      </c>
      <c r="AT162" s="75">
        <f>'FY30'!AP162</f>
        <v>0</v>
      </c>
      <c r="AU162" s="75">
        <f>'FY31'!AP162</f>
        <v>0</v>
      </c>
      <c r="AW162" s="75">
        <f>'FY26'!AJ162</f>
        <v>15000</v>
      </c>
      <c r="AX162" s="75">
        <f>'FY27'!AV162</f>
        <v>15000</v>
      </c>
      <c r="AY162" s="75">
        <f>'FY28'!AV162</f>
        <v>15000</v>
      </c>
      <c r="AZ162" s="75">
        <f>'FY29'!AV162</f>
        <v>16500</v>
      </c>
      <c r="BA162" s="75">
        <f>'FY30'!AV162</f>
        <v>16500</v>
      </c>
      <c r="BB162" s="75">
        <f>'FY31'!AV162</f>
        <v>16500</v>
      </c>
      <c r="BD162" s="166"/>
      <c r="BE162" s="166"/>
    </row>
    <row r="163" spans="1:57" x14ac:dyDescent="0.25">
      <c r="A163" s="32" t="s">
        <v>112</v>
      </c>
      <c r="B163" s="75">
        <f>'FY26'!F163</f>
        <v>0</v>
      </c>
      <c r="C163" s="75">
        <f>'FY27'!F163</f>
        <v>0</v>
      </c>
      <c r="D163" s="75">
        <f>'FY28'!F163</f>
        <v>0</v>
      </c>
      <c r="E163" s="75">
        <f>'FY29'!F163</f>
        <v>0</v>
      </c>
      <c r="F163" s="75">
        <f>'FY30'!F163</f>
        <v>0</v>
      </c>
      <c r="G163" s="75">
        <f>'FY31'!F163</f>
        <v>0</v>
      </c>
      <c r="I163" s="75">
        <f>'FY26'!L163</f>
        <v>0</v>
      </c>
      <c r="J163" s="75">
        <f>'FY27'!L163</f>
        <v>0</v>
      </c>
      <c r="K163" s="75">
        <f>'FY28'!L163</f>
        <v>0</v>
      </c>
      <c r="L163" s="75">
        <f>'FY29'!L163</f>
        <v>0</v>
      </c>
      <c r="M163" s="75">
        <f>'FY30'!L163</f>
        <v>0</v>
      </c>
      <c r="N163" s="75">
        <f>'FY31'!L163</f>
        <v>0</v>
      </c>
      <c r="P163" s="75">
        <f>'FY26'!R163</f>
        <v>35000</v>
      </c>
      <c r="Q163" s="75">
        <f>'FY27'!R163</f>
        <v>36050</v>
      </c>
      <c r="R163" s="75">
        <f>'FY28'!R163</f>
        <v>37131.5</v>
      </c>
      <c r="S163" s="75">
        <f>'FY29'!R163</f>
        <v>38245.445</v>
      </c>
      <c r="T163" s="75">
        <f>'FY30'!R163</f>
        <v>38245.445</v>
      </c>
      <c r="U163" s="75">
        <f>'FY31'!R163</f>
        <v>39392.808349999999</v>
      </c>
      <c r="W163" s="75">
        <f>'FY26'!X163</f>
        <v>0</v>
      </c>
      <c r="X163" s="75">
        <f>'FY27'!X163</f>
        <v>0</v>
      </c>
      <c r="Y163" s="75">
        <f>'FY28'!X163</f>
        <v>0</v>
      </c>
      <c r="Z163" s="75">
        <f>'FY29'!X163</f>
        <v>0</v>
      </c>
      <c r="AA163" s="75">
        <f>'FY30'!X163</f>
        <v>0</v>
      </c>
      <c r="AB163" s="75">
        <f>'FY31'!X163</f>
        <v>0</v>
      </c>
      <c r="AC163" s="194"/>
      <c r="AD163" s="75">
        <f>'FY27'!AD163</f>
        <v>0</v>
      </c>
      <c r="AE163" s="75">
        <f>'FY28'!AD163</f>
        <v>0</v>
      </c>
      <c r="AF163" s="75">
        <f>'FY29'!AD163</f>
        <v>0</v>
      </c>
      <c r="AG163" s="75">
        <f>'FY30'!AD163</f>
        <v>0</v>
      </c>
      <c r="AH163" s="75">
        <f>'FY31'!AD163</f>
        <v>0</v>
      </c>
      <c r="AI163" s="194"/>
      <c r="AJ163" s="75">
        <f>'FY27'!AJ163</f>
        <v>0</v>
      </c>
      <c r="AK163" s="75">
        <f>'FY28'!AJ163</f>
        <v>0</v>
      </c>
      <c r="AL163" s="75">
        <f>'FY29'!AJ163</f>
        <v>0</v>
      </c>
      <c r="AM163" s="75">
        <f>'FY30'!AJ163</f>
        <v>0</v>
      </c>
      <c r="AN163" s="75">
        <f>'FY31'!AJ163</f>
        <v>0</v>
      </c>
      <c r="AP163" s="75">
        <f>'FY26'!AD163</f>
        <v>0</v>
      </c>
      <c r="AQ163" s="75">
        <f>'FY27'!AP163</f>
        <v>0</v>
      </c>
      <c r="AR163" s="75">
        <f>'FY28'!AP163</f>
        <v>0</v>
      </c>
      <c r="AS163" s="75">
        <f>'FY29'!AP163</f>
        <v>0</v>
      </c>
      <c r="AT163" s="75">
        <f>'FY30'!AP163</f>
        <v>0</v>
      </c>
      <c r="AU163" s="75">
        <f>'FY31'!AP163</f>
        <v>0</v>
      </c>
      <c r="AW163" s="75">
        <f>'FY26'!AJ163</f>
        <v>35000</v>
      </c>
      <c r="AX163" s="75">
        <f>'FY27'!AV163</f>
        <v>36050</v>
      </c>
      <c r="AY163" s="75">
        <f>'FY28'!AV163</f>
        <v>37131.5</v>
      </c>
      <c r="AZ163" s="75">
        <f>'FY29'!AV163</f>
        <v>38245.445</v>
      </c>
      <c r="BA163" s="75">
        <f>'FY30'!AV163</f>
        <v>38245.445</v>
      </c>
      <c r="BB163" s="75">
        <f>'FY31'!AV163</f>
        <v>39392.808349999999</v>
      </c>
      <c r="BD163" s="166"/>
      <c r="BE163" s="166"/>
    </row>
    <row r="164" spans="1:57" x14ac:dyDescent="0.25">
      <c r="A164" s="32" t="s">
        <v>116</v>
      </c>
      <c r="B164" s="75">
        <f>'FY26'!F164</f>
        <v>508860</v>
      </c>
      <c r="C164" s="75">
        <f>'FY27'!F164</f>
        <v>512643.04</v>
      </c>
      <c r="D164" s="75">
        <f>'FY28'!F164</f>
        <v>520363.32</v>
      </c>
      <c r="E164" s="75">
        <f>'FY29'!F164</f>
        <v>530962</v>
      </c>
      <c r="F164" s="75">
        <f>'FY30'!F164</f>
        <v>539072.92000000004</v>
      </c>
      <c r="G164" s="75">
        <f>'FY31'!F164</f>
        <v>547153</v>
      </c>
      <c r="I164" s="75">
        <f>'FY26'!L164</f>
        <v>508860</v>
      </c>
      <c r="J164" s="75">
        <f>'FY27'!L164</f>
        <v>512643.04</v>
      </c>
      <c r="K164" s="75">
        <f>'FY28'!L164</f>
        <v>520363.32</v>
      </c>
      <c r="L164" s="75">
        <f>'FY29'!L164</f>
        <v>530962</v>
      </c>
      <c r="M164" s="75">
        <f>'FY30'!L164</f>
        <v>539072.92000000004</v>
      </c>
      <c r="N164" s="75">
        <f>'FY31'!L164</f>
        <v>547153</v>
      </c>
      <c r="P164" s="75">
        <f>'FY26'!R164</f>
        <v>1209285</v>
      </c>
      <c r="Q164" s="75">
        <f>'FY27'!R164</f>
        <v>1226254.1200000001</v>
      </c>
      <c r="R164" s="75">
        <f>'FY28'!R164</f>
        <v>1254338.82</v>
      </c>
      <c r="S164" s="75">
        <f>'FY29'!R164</f>
        <v>1296931.5</v>
      </c>
      <c r="T164" s="75">
        <f>'FY30'!R164</f>
        <v>1321462.8</v>
      </c>
      <c r="U164" s="75">
        <f>'FY31'!R164</f>
        <v>1336479.75</v>
      </c>
      <c r="W164" s="75">
        <f>'FY26'!X164</f>
        <v>234630</v>
      </c>
      <c r="X164" s="75">
        <f>'FY27'!X164</f>
        <v>265796.44</v>
      </c>
      <c r="Y164" s="75">
        <f>'FY28'!X164</f>
        <v>270811.65000000002</v>
      </c>
      <c r="Z164" s="75">
        <f>'FY29'!X164</f>
        <v>277360.5</v>
      </c>
      <c r="AA164" s="75">
        <f>'FY30'!X164</f>
        <v>282646.21000000002</v>
      </c>
      <c r="AB164" s="75">
        <f>'FY31'!X164</f>
        <v>287415</v>
      </c>
      <c r="AC164" s="194"/>
      <c r="AD164" s="75">
        <f>'FY27'!AD164</f>
        <v>213933.72</v>
      </c>
      <c r="AE164" s="75">
        <f>'FY28'!AD164</f>
        <v>310800.65999999997</v>
      </c>
      <c r="AF164" s="75">
        <f>'FY29'!AD164</f>
        <v>456069.5</v>
      </c>
      <c r="AG164" s="75">
        <f>'FY30'!AD164</f>
        <v>599902.16</v>
      </c>
      <c r="AH164" s="75">
        <f>'FY31'!AD164</f>
        <v>724392.25</v>
      </c>
      <c r="AI164" s="194"/>
      <c r="AJ164" s="75">
        <f>'FY27'!AJ164</f>
        <v>0</v>
      </c>
      <c r="AK164" s="75">
        <f>'FY28'!AJ164</f>
        <v>388970.4</v>
      </c>
      <c r="AL164" s="75">
        <f>'FY29'!AJ164</f>
        <v>479828.5</v>
      </c>
      <c r="AM164" s="75">
        <f>'FY30'!AJ164</f>
        <v>546938.77</v>
      </c>
      <c r="AN164" s="75">
        <f>'FY31'!AJ164</f>
        <v>546620.75</v>
      </c>
      <c r="AP164" s="75">
        <f>'FY26'!AD164</f>
        <v>0</v>
      </c>
      <c r="AQ164" s="75">
        <f>'FY27'!AP164</f>
        <v>0</v>
      </c>
      <c r="AR164" s="75">
        <f>'FY28'!AP164</f>
        <v>0</v>
      </c>
      <c r="AS164" s="75">
        <f>'FY29'!AP164</f>
        <v>0</v>
      </c>
      <c r="AT164" s="75">
        <f>'FY30'!AP164</f>
        <v>0</v>
      </c>
      <c r="AU164" s="75">
        <f>'FY31'!AP164</f>
        <v>0</v>
      </c>
      <c r="AW164" s="75">
        <f>'FY26'!AJ164</f>
        <v>2461635</v>
      </c>
      <c r="AX164" s="75">
        <f>'FY27'!AV164</f>
        <v>2731270.3600000003</v>
      </c>
      <c r="AY164" s="75">
        <f>'FY28'!AV164</f>
        <v>3265648.17</v>
      </c>
      <c r="AZ164" s="75">
        <f>'FY29'!AV164</f>
        <v>3572114</v>
      </c>
      <c r="BA164" s="75">
        <f>'FY30'!AV164</f>
        <v>3829095.7800000003</v>
      </c>
      <c r="BB164" s="75">
        <f>'FY31'!AV164</f>
        <v>3989213.75</v>
      </c>
      <c r="BD164" s="166"/>
      <c r="BE164" s="166"/>
    </row>
    <row r="165" spans="1:57" x14ac:dyDescent="0.25">
      <c r="A165" s="32" t="s">
        <v>117</v>
      </c>
      <c r="B165" s="75">
        <f>'FY26'!F165</f>
        <v>44400</v>
      </c>
      <c r="C165" s="75">
        <f>'FY27'!F165</f>
        <v>45732</v>
      </c>
      <c r="D165" s="75">
        <f>'FY28'!F165</f>
        <v>47103.96</v>
      </c>
      <c r="E165" s="75">
        <f>'FY29'!F165</f>
        <v>48517.078800000003</v>
      </c>
      <c r="F165" s="75">
        <f>'FY30'!F165</f>
        <v>49972.591164000005</v>
      </c>
      <c r="G165" s="75">
        <f>'FY31'!F165</f>
        <v>51471.768898920003</v>
      </c>
      <c r="I165" s="75">
        <f>'FY26'!L165</f>
        <v>44400</v>
      </c>
      <c r="J165" s="75">
        <f>'FY27'!L165</f>
        <v>45732</v>
      </c>
      <c r="K165" s="75">
        <f>'FY28'!L165</f>
        <v>47103.96</v>
      </c>
      <c r="L165" s="75">
        <f>'FY29'!L165</f>
        <v>48517.078800000003</v>
      </c>
      <c r="M165" s="75">
        <f>'FY30'!L165</f>
        <v>49972.591164000005</v>
      </c>
      <c r="N165" s="75">
        <f>'FY31'!L165</f>
        <v>51471.768898920003</v>
      </c>
      <c r="P165" s="75">
        <f>'FY26'!R165</f>
        <v>108000</v>
      </c>
      <c r="Q165" s="75">
        <f>'FY27'!R165</f>
        <v>111240</v>
      </c>
      <c r="R165" s="75">
        <f>'FY28'!R165</f>
        <v>114577.2</v>
      </c>
      <c r="S165" s="75">
        <f>'FY29'!R165</f>
        <v>118014.516</v>
      </c>
      <c r="T165" s="75">
        <f>'FY30'!R165</f>
        <v>121554.95148</v>
      </c>
      <c r="U165" s="75">
        <f>'FY31'!R165</f>
        <v>125201.6000244</v>
      </c>
      <c r="W165" s="75">
        <f>'FY26'!X165</f>
        <v>7200</v>
      </c>
      <c r="X165" s="75">
        <f>'FY27'!X165</f>
        <v>12240</v>
      </c>
      <c r="Y165" s="75">
        <f>'FY28'!X165</f>
        <v>10085.76</v>
      </c>
      <c r="Z165" s="75">
        <f>'FY29'!X165</f>
        <v>10388.3328</v>
      </c>
      <c r="AA165" s="75">
        <f>'FY30'!X165</f>
        <v>10699.982784</v>
      </c>
      <c r="AB165" s="75">
        <f>'FY31'!X165</f>
        <v>11020.982267519999</v>
      </c>
      <c r="AC165" s="194"/>
      <c r="AD165" s="75">
        <f>'FY27'!AD165</f>
        <v>9792</v>
      </c>
      <c r="AE165" s="75">
        <f>'FY28'!AD165</f>
        <v>12484.800000000001</v>
      </c>
      <c r="AF165" s="75">
        <f>'FY29'!AD165</f>
        <v>40000</v>
      </c>
      <c r="AG165" s="75">
        <f>'FY30'!AD165</f>
        <v>49972.591164000005</v>
      </c>
      <c r="AH165" s="75">
        <f>'FY31'!AD165</f>
        <v>57860.156904480013</v>
      </c>
      <c r="AI165" s="194"/>
      <c r="AJ165" s="75">
        <f>'FY27'!AJ165</f>
        <v>0</v>
      </c>
      <c r="AK165" s="75">
        <f>'FY28'!AJ165</f>
        <v>9792</v>
      </c>
      <c r="AL165" s="75">
        <f>'FY29'!AJ165</f>
        <v>9792</v>
      </c>
      <c r="AM165" s="75">
        <f>'FY30'!AJ165</f>
        <v>47103.96</v>
      </c>
      <c r="AN165" s="75">
        <f>'FY31'!AJ165</f>
        <v>48517.078800000003</v>
      </c>
      <c r="AP165" s="75">
        <f>'FY26'!AD165</f>
        <v>10000</v>
      </c>
      <c r="AQ165" s="75">
        <f>'FY27'!AP165</f>
        <v>10300</v>
      </c>
      <c r="AR165" s="75">
        <f>'FY28'!AP165</f>
        <v>10609</v>
      </c>
      <c r="AS165" s="75">
        <f>'FY29'!AP165</f>
        <v>10927.27</v>
      </c>
      <c r="AT165" s="75">
        <f>'FY30'!AP165</f>
        <v>11255.088100000001</v>
      </c>
      <c r="AU165" s="75">
        <f>'FY31'!AP165</f>
        <v>11592.740743</v>
      </c>
      <c r="AW165" s="75">
        <f>'FY26'!AJ165</f>
        <v>214000</v>
      </c>
      <c r="AX165" s="75">
        <f>'FY27'!AV165</f>
        <v>235036</v>
      </c>
      <c r="AY165" s="75">
        <f>'FY28'!AV165</f>
        <v>251756.68</v>
      </c>
      <c r="AZ165" s="75">
        <f>'FY29'!AV165</f>
        <v>286156.27639999997</v>
      </c>
      <c r="BA165" s="75">
        <f>'FY30'!AV165</f>
        <v>340531.755856</v>
      </c>
      <c r="BB165" s="75">
        <f>'FY31'!AV165</f>
        <v>357136.09653724002</v>
      </c>
      <c r="BD165" s="166"/>
      <c r="BE165" s="166"/>
    </row>
    <row r="166" spans="1:57" x14ac:dyDescent="0.25">
      <c r="A166" s="32" t="s">
        <v>118</v>
      </c>
      <c r="B166" s="75">
        <f>'FY26'!F166</f>
        <v>22500</v>
      </c>
      <c r="C166" s="75">
        <f>'FY27'!F166</f>
        <v>23175</v>
      </c>
      <c r="D166" s="75">
        <f>'FY28'!F166</f>
        <v>23870.25</v>
      </c>
      <c r="E166" s="75">
        <f>'FY29'!F166</f>
        <v>24586.357500000002</v>
      </c>
      <c r="F166" s="75">
        <f>'FY30'!F166</f>
        <v>25323.948225000004</v>
      </c>
      <c r="G166" s="75">
        <f>'FY31'!F166</f>
        <v>26083.666671750005</v>
      </c>
      <c r="I166" s="75">
        <f>'FY26'!L166</f>
        <v>22500</v>
      </c>
      <c r="J166" s="75">
        <f>'FY27'!L166</f>
        <v>23175</v>
      </c>
      <c r="K166" s="75">
        <f>'FY28'!L166</f>
        <v>23870.25</v>
      </c>
      <c r="L166" s="75">
        <f>'FY29'!L166</f>
        <v>24586.357500000002</v>
      </c>
      <c r="M166" s="75">
        <f>'FY30'!L166</f>
        <v>25323.948225000004</v>
      </c>
      <c r="N166" s="75">
        <f>'FY31'!L166</f>
        <v>26083.666671750005</v>
      </c>
      <c r="P166" s="75">
        <f>'FY26'!R166</f>
        <v>30000</v>
      </c>
      <c r="Q166" s="75">
        <f>'FY27'!R166</f>
        <v>30900</v>
      </c>
      <c r="R166" s="75">
        <f>'FY28'!R166</f>
        <v>31209</v>
      </c>
      <c r="S166" s="75">
        <f>'FY29'!R166</f>
        <v>31827</v>
      </c>
      <c r="T166" s="75">
        <f>'FY30'!R166</f>
        <v>32781.81</v>
      </c>
      <c r="U166" s="75">
        <f>'FY31'!R166</f>
        <v>33765.264299999995</v>
      </c>
      <c r="W166" s="75">
        <f>'FY26'!X166</f>
        <v>30000</v>
      </c>
      <c r="X166" s="75">
        <f>'FY27'!X166</f>
        <v>5000</v>
      </c>
      <c r="Y166" s="75">
        <f>'FY28'!X166</f>
        <v>10000</v>
      </c>
      <c r="Z166" s="75">
        <f>'FY29'!X166</f>
        <v>12500</v>
      </c>
      <c r="AA166" s="75">
        <f>'FY30'!X166</f>
        <v>14000</v>
      </c>
      <c r="AB166" s="75">
        <f>'FY31'!X166</f>
        <v>15000</v>
      </c>
      <c r="AC166" s="194"/>
      <c r="AD166" s="75">
        <f>'FY27'!AD166</f>
        <v>0</v>
      </c>
      <c r="AE166" s="75">
        <f>'FY28'!AD166</f>
        <v>7500</v>
      </c>
      <c r="AF166" s="75">
        <f>'FY29'!AD166</f>
        <v>15000</v>
      </c>
      <c r="AG166" s="75">
        <f>'FY30'!AD166</f>
        <v>20000</v>
      </c>
      <c r="AH166" s="75">
        <f>'FY31'!AD166</f>
        <v>22000</v>
      </c>
      <c r="AI166" s="194"/>
      <c r="AJ166" s="75">
        <f>'FY27'!AJ166</f>
        <v>0</v>
      </c>
      <c r="AK166" s="75">
        <f>'FY28'!AJ166</f>
        <v>0</v>
      </c>
      <c r="AL166" s="75">
        <f>'FY29'!AJ166</f>
        <v>10000</v>
      </c>
      <c r="AM166" s="75">
        <f>'FY30'!AJ166</f>
        <v>15000</v>
      </c>
      <c r="AN166" s="75">
        <f>'FY31'!AJ166</f>
        <v>16000</v>
      </c>
      <c r="AP166" s="75">
        <f>'FY26'!AD166</f>
        <v>0</v>
      </c>
      <c r="AQ166" s="75">
        <f>'FY27'!AP166</f>
        <v>0</v>
      </c>
      <c r="AR166" s="75">
        <f>'FY28'!AP166</f>
        <v>0</v>
      </c>
      <c r="AS166" s="75">
        <f>'FY29'!AP166</f>
        <v>0</v>
      </c>
      <c r="AT166" s="75">
        <f>'FY30'!AP166</f>
        <v>0</v>
      </c>
      <c r="AU166" s="75">
        <f>'FY31'!AP166</f>
        <v>0</v>
      </c>
      <c r="AW166" s="75">
        <f>'FY26'!AJ166</f>
        <v>105000</v>
      </c>
      <c r="AX166" s="75">
        <f>'FY27'!AV166</f>
        <v>82250</v>
      </c>
      <c r="AY166" s="75">
        <f>'FY28'!AV166</f>
        <v>96449.5</v>
      </c>
      <c r="AZ166" s="75">
        <f>'FY29'!AV166</f>
        <v>118499.715</v>
      </c>
      <c r="BA166" s="75">
        <f>'FY30'!AV166</f>
        <v>132429.70645</v>
      </c>
      <c r="BB166" s="75">
        <f>'FY31'!AV166</f>
        <v>138932.59764350002</v>
      </c>
      <c r="BD166" s="166"/>
      <c r="BE166" s="166"/>
    </row>
    <row r="167" spans="1:57" x14ac:dyDescent="0.25">
      <c r="A167" s="32" t="s">
        <v>119</v>
      </c>
      <c r="B167" s="75">
        <f>'FY26'!F167</f>
        <v>32500</v>
      </c>
      <c r="C167" s="75">
        <f>'FY27'!F167</f>
        <v>33000</v>
      </c>
      <c r="D167" s="75">
        <f>'FY28'!F167</f>
        <v>37500</v>
      </c>
      <c r="E167" s="75">
        <f>'FY29'!F167</f>
        <v>38500</v>
      </c>
      <c r="F167" s="75">
        <f>'FY30'!F167</f>
        <v>39500</v>
      </c>
      <c r="G167" s="75">
        <f>'FY31'!F167</f>
        <v>40500</v>
      </c>
      <c r="I167" s="75">
        <f>'FY26'!L167</f>
        <v>30000</v>
      </c>
      <c r="J167" s="75">
        <f>'FY27'!L167</f>
        <v>33000</v>
      </c>
      <c r="K167" s="75">
        <f>'FY28'!L167</f>
        <v>37500</v>
      </c>
      <c r="L167" s="75">
        <f>'FY29'!L167</f>
        <v>38500</v>
      </c>
      <c r="M167" s="75">
        <f>'FY30'!L167</f>
        <v>39500</v>
      </c>
      <c r="N167" s="75">
        <f>'FY31'!L167</f>
        <v>40500</v>
      </c>
      <c r="P167" s="75">
        <f>'FY26'!R167</f>
        <v>50000</v>
      </c>
      <c r="Q167" s="75">
        <f>'FY27'!R167</f>
        <v>52500</v>
      </c>
      <c r="R167" s="75">
        <f>'FY28'!R167</f>
        <v>52500</v>
      </c>
      <c r="S167" s="75">
        <f>'FY29'!R167</f>
        <v>55500</v>
      </c>
      <c r="T167" s="75">
        <f>'FY30'!R167</f>
        <v>58000</v>
      </c>
      <c r="U167" s="75">
        <f>'FY31'!R167</f>
        <v>60000</v>
      </c>
      <c r="W167" s="75">
        <f>'FY26'!X167</f>
        <v>20000</v>
      </c>
      <c r="X167" s="75">
        <f>'FY27'!X167</f>
        <v>15000</v>
      </c>
      <c r="Y167" s="75">
        <f>'FY28'!X167</f>
        <v>25000</v>
      </c>
      <c r="Z167" s="75">
        <f>'FY29'!X167</f>
        <v>37500</v>
      </c>
      <c r="AA167" s="75">
        <f>'FY30'!X167</f>
        <v>38500</v>
      </c>
      <c r="AB167" s="75">
        <f>'FY31'!X167</f>
        <v>39500</v>
      </c>
      <c r="AC167" s="194"/>
      <c r="AD167" s="75">
        <f>'FY27'!AD167</f>
        <v>15000</v>
      </c>
      <c r="AE167" s="75">
        <f>'FY28'!AD167</f>
        <v>25000</v>
      </c>
      <c r="AF167" s="75">
        <f>'FY29'!AD167</f>
        <v>35000</v>
      </c>
      <c r="AG167" s="75">
        <f>'FY30'!AD167</f>
        <v>37500</v>
      </c>
      <c r="AH167" s="75">
        <f>'FY31'!AD167</f>
        <v>40000</v>
      </c>
      <c r="AI167" s="194"/>
      <c r="AJ167" s="75">
        <f>'FY27'!AJ167</f>
        <v>0</v>
      </c>
      <c r="AK167" s="75">
        <f>'FY28'!AJ167</f>
        <v>7500</v>
      </c>
      <c r="AL167" s="75">
        <f>'FY29'!AJ167</f>
        <v>35000</v>
      </c>
      <c r="AM167" s="75">
        <f>'FY30'!AJ167</f>
        <v>37500</v>
      </c>
      <c r="AN167" s="75">
        <f>'FY31'!AJ167</f>
        <v>38500</v>
      </c>
      <c r="AP167" s="75">
        <f>'FY26'!AD167</f>
        <v>0</v>
      </c>
      <c r="AQ167" s="75">
        <f>'FY27'!AP167</f>
        <v>0</v>
      </c>
      <c r="AR167" s="75">
        <f>'FY28'!AP167</f>
        <v>0</v>
      </c>
      <c r="AS167" s="75">
        <f>'FY29'!AP167</f>
        <v>0</v>
      </c>
      <c r="AT167" s="75">
        <f>'FY30'!AP167</f>
        <v>0</v>
      </c>
      <c r="AU167" s="75">
        <f>'FY31'!AP167</f>
        <v>0</v>
      </c>
      <c r="AW167" s="75">
        <f>'FY26'!AJ167</f>
        <v>132500</v>
      </c>
      <c r="AX167" s="75">
        <f>'FY27'!AV167</f>
        <v>148500</v>
      </c>
      <c r="AY167" s="75">
        <f>'FY28'!AV167</f>
        <v>185000</v>
      </c>
      <c r="AZ167" s="75">
        <f>'FY29'!AV167</f>
        <v>240000</v>
      </c>
      <c r="BA167" s="75">
        <f>'FY30'!AV167</f>
        <v>250500</v>
      </c>
      <c r="BB167" s="75">
        <f>'FY31'!AV167</f>
        <v>259000</v>
      </c>
      <c r="BD167" s="166"/>
      <c r="BE167" s="166"/>
    </row>
    <row r="168" spans="1:57" x14ac:dyDescent="0.25">
      <c r="A168" s="32" t="s">
        <v>120</v>
      </c>
      <c r="B168" s="75">
        <f>'FY26'!F168</f>
        <v>45232</v>
      </c>
      <c r="C168" s="75">
        <f>'FY27'!F168</f>
        <v>46260</v>
      </c>
      <c r="D168" s="75">
        <f>'FY28'!F168</f>
        <v>47288</v>
      </c>
      <c r="E168" s="75">
        <f>'FY29'!F168</f>
        <v>48316</v>
      </c>
      <c r="F168" s="75">
        <f>'FY30'!F168</f>
        <v>49344</v>
      </c>
      <c r="G168" s="75">
        <f>'FY31'!F168</f>
        <v>50372</v>
      </c>
      <c r="I168" s="75">
        <f>'FY26'!L168</f>
        <v>45232</v>
      </c>
      <c r="J168" s="75">
        <f>'FY27'!L168</f>
        <v>46260</v>
      </c>
      <c r="K168" s="75">
        <f>'FY28'!L168</f>
        <v>47288</v>
      </c>
      <c r="L168" s="75">
        <f>'FY29'!L168</f>
        <v>48316</v>
      </c>
      <c r="M168" s="75">
        <f>'FY30'!L168</f>
        <v>49344</v>
      </c>
      <c r="N168" s="75">
        <f>'FY31'!L168</f>
        <v>50372</v>
      </c>
      <c r="P168" s="75">
        <f>'FY26'!R168</f>
        <v>107492</v>
      </c>
      <c r="Q168" s="75">
        <f>'FY27'!R168</f>
        <v>110655</v>
      </c>
      <c r="R168" s="75">
        <f>'FY28'!R168</f>
        <v>113988</v>
      </c>
      <c r="S168" s="75">
        <f>'FY29'!R168</f>
        <v>118017</v>
      </c>
      <c r="T168" s="75">
        <f>'FY30'!R168</f>
        <v>120960</v>
      </c>
      <c r="U168" s="75">
        <f>'FY31'!R168</f>
        <v>123039</v>
      </c>
      <c r="W168" s="75">
        <f>'FY26'!X168</f>
        <v>20856</v>
      </c>
      <c r="X168" s="75">
        <f>'FY27'!X168</f>
        <v>23985</v>
      </c>
      <c r="Y168" s="75">
        <f>'FY28'!X168</f>
        <v>24610</v>
      </c>
      <c r="Z168" s="75">
        <f>'FY29'!X168</f>
        <v>25239</v>
      </c>
      <c r="AA168" s="75">
        <f>'FY30'!X168</f>
        <v>25872</v>
      </c>
      <c r="AB168" s="75">
        <f>'FY31'!X168</f>
        <v>26460</v>
      </c>
      <c r="AC168" s="194"/>
      <c r="AD168" s="75">
        <f>'FY27'!AD168</f>
        <v>19305</v>
      </c>
      <c r="AE168" s="75">
        <f>'FY28'!AD168</f>
        <v>28244</v>
      </c>
      <c r="AF168" s="75">
        <f>'FY29'!AD168</f>
        <v>41501</v>
      </c>
      <c r="AG168" s="75">
        <f>'FY30'!AD168</f>
        <v>54912</v>
      </c>
      <c r="AH168" s="75">
        <f>'FY31'!AD168</f>
        <v>66689</v>
      </c>
      <c r="AI168" s="194"/>
      <c r="AJ168" s="75">
        <f>'FY27'!AJ168</f>
        <v>0</v>
      </c>
      <c r="AK168" s="75">
        <f>'FY28'!AJ168</f>
        <v>35100</v>
      </c>
      <c r="AL168" s="75">
        <f>'FY29'!AJ168</f>
        <v>42734</v>
      </c>
      <c r="AM168" s="75">
        <f>'FY30'!AJ168</f>
        <v>50064</v>
      </c>
      <c r="AN168" s="75">
        <f>'FY31'!AJ168</f>
        <v>49296</v>
      </c>
      <c r="AP168" s="75">
        <f>'FY26'!AD168</f>
        <v>0</v>
      </c>
      <c r="AQ168" s="75">
        <f>'FY27'!AP168</f>
        <v>0</v>
      </c>
      <c r="AR168" s="75">
        <f>'FY28'!AP168</f>
        <v>0</v>
      </c>
      <c r="AS168" s="75">
        <f>'FY29'!AP168</f>
        <v>0</v>
      </c>
      <c r="AT168" s="75">
        <f>'FY30'!AP168</f>
        <v>0</v>
      </c>
      <c r="AU168" s="75">
        <f>'FY31'!AP168</f>
        <v>0</v>
      </c>
      <c r="AW168" s="75">
        <f>'FY26'!AJ168</f>
        <v>218812</v>
      </c>
      <c r="AX168" s="75">
        <f>'FY27'!AV168</f>
        <v>246465</v>
      </c>
      <c r="AY168" s="75">
        <f>'FY28'!AV168</f>
        <v>296518</v>
      </c>
      <c r="AZ168" s="75">
        <f>'FY29'!AV168</f>
        <v>324123</v>
      </c>
      <c r="BA168" s="75">
        <f>'FY30'!AV168</f>
        <v>350496</v>
      </c>
      <c r="BB168" s="75">
        <f>'FY31'!AV168</f>
        <v>366228</v>
      </c>
      <c r="BD168" s="166"/>
      <c r="BE168" s="166"/>
    </row>
    <row r="169" spans="1:57" x14ac:dyDescent="0.25">
      <c r="A169" s="32" t="s">
        <v>121</v>
      </c>
      <c r="B169" s="75">
        <f>'FY26'!F169</f>
        <v>0</v>
      </c>
      <c r="C169" s="75">
        <f>'FY27'!F169</f>
        <v>0</v>
      </c>
      <c r="D169" s="75">
        <f>'FY28'!F169</f>
        <v>0</v>
      </c>
      <c r="E169" s="75">
        <f>'FY29'!F169</f>
        <v>0</v>
      </c>
      <c r="F169" s="75">
        <f>'FY30'!F169</f>
        <v>0</v>
      </c>
      <c r="G169" s="75">
        <f>'FY31'!F169</f>
        <v>0</v>
      </c>
      <c r="I169" s="75">
        <f>'FY26'!L169</f>
        <v>0</v>
      </c>
      <c r="J169" s="75">
        <f>'FY27'!L169</f>
        <v>0</v>
      </c>
      <c r="K169" s="75">
        <f>'FY28'!L169</f>
        <v>0</v>
      </c>
      <c r="L169" s="75">
        <f>'FY29'!L169</f>
        <v>0</v>
      </c>
      <c r="M169" s="75">
        <f>'FY30'!L169</f>
        <v>0</v>
      </c>
      <c r="N169" s="75">
        <f>'FY31'!L169</f>
        <v>0</v>
      </c>
      <c r="P169" s="75">
        <f>'FY26'!R169</f>
        <v>0</v>
      </c>
      <c r="Q169" s="75">
        <f>'FY27'!R169</f>
        <v>0</v>
      </c>
      <c r="R169" s="75">
        <f>'FY28'!R169</f>
        <v>0</v>
      </c>
      <c r="S169" s="75">
        <f>'FY29'!R169</f>
        <v>0</v>
      </c>
      <c r="T169" s="75">
        <f>'FY30'!R169</f>
        <v>0</v>
      </c>
      <c r="U169" s="75">
        <f>'FY31'!R169</f>
        <v>0</v>
      </c>
      <c r="W169" s="75">
        <f>'FY26'!X169</f>
        <v>0</v>
      </c>
      <c r="X169" s="75">
        <f>'FY27'!X169</f>
        <v>0</v>
      </c>
      <c r="Y169" s="75">
        <f>'FY28'!X169</f>
        <v>0</v>
      </c>
      <c r="Z169" s="75">
        <f>'FY29'!X169</f>
        <v>0</v>
      </c>
      <c r="AA169" s="75">
        <f>'FY30'!X169</f>
        <v>0</v>
      </c>
      <c r="AB169" s="75">
        <f>'FY31'!X169</f>
        <v>0</v>
      </c>
      <c r="AC169" s="194"/>
      <c r="AD169" s="75">
        <f>'FY27'!AD169</f>
        <v>0</v>
      </c>
      <c r="AE169" s="75">
        <f>'FY28'!AD169</f>
        <v>0</v>
      </c>
      <c r="AF169" s="75">
        <f>'FY29'!AD169</f>
        <v>0</v>
      </c>
      <c r="AG169" s="75">
        <f>'FY30'!AD169</f>
        <v>0</v>
      </c>
      <c r="AH169" s="75">
        <f>'FY31'!AD169</f>
        <v>0</v>
      </c>
      <c r="AI169" s="194"/>
      <c r="AJ169" s="75">
        <f>'FY27'!AJ169</f>
        <v>0</v>
      </c>
      <c r="AK169" s="75">
        <f>'FY28'!AJ169</f>
        <v>0</v>
      </c>
      <c r="AL169" s="75">
        <f>'FY29'!AJ169</f>
        <v>0</v>
      </c>
      <c r="AM169" s="75">
        <f>'FY30'!AJ169</f>
        <v>0</v>
      </c>
      <c r="AN169" s="75">
        <f>'FY31'!AJ169</f>
        <v>0</v>
      </c>
      <c r="AP169" s="75">
        <f>'FY26'!AD169</f>
        <v>0</v>
      </c>
      <c r="AQ169" s="75">
        <f>'FY27'!AP169</f>
        <v>0</v>
      </c>
      <c r="AR169" s="75">
        <f>'FY28'!AP169</f>
        <v>0</v>
      </c>
      <c r="AS169" s="75">
        <f>'FY29'!AP169</f>
        <v>0</v>
      </c>
      <c r="AT169" s="75">
        <f>'FY30'!AP169</f>
        <v>0</v>
      </c>
      <c r="AU169" s="75">
        <f>'FY31'!AP169</f>
        <v>0</v>
      </c>
      <c r="AW169" s="75">
        <f>'FY26'!AJ169</f>
        <v>0</v>
      </c>
      <c r="AX169" s="75">
        <f>'FY27'!AV169</f>
        <v>0</v>
      </c>
      <c r="AY169" s="75">
        <f>'FY28'!AV169</f>
        <v>0</v>
      </c>
      <c r="AZ169" s="75">
        <f>'FY29'!AV169</f>
        <v>0</v>
      </c>
      <c r="BA169" s="75">
        <f>'FY30'!AV169</f>
        <v>0</v>
      </c>
      <c r="BB169" s="75">
        <f>'FY31'!AV169</f>
        <v>0</v>
      </c>
      <c r="BD169" s="166"/>
      <c r="BE169" s="166"/>
    </row>
    <row r="170" spans="1:57" x14ac:dyDescent="0.25">
      <c r="A170" s="33" t="s">
        <v>122</v>
      </c>
      <c r="B170" s="75">
        <f>'FY26'!F170</f>
        <v>120995.6</v>
      </c>
      <c r="C170" s="75">
        <f>'FY27'!F170</f>
        <v>121895.1</v>
      </c>
      <c r="D170" s="75">
        <f>'FY28'!F170</f>
        <v>124388</v>
      </c>
      <c r="E170" s="75">
        <f>'FY29'!F170</f>
        <v>126251.25</v>
      </c>
      <c r="F170" s="75">
        <f>'FY30'!F170</f>
        <v>128178.75</v>
      </c>
      <c r="G170" s="75">
        <f>'FY31'!F170</f>
        <v>130106.25</v>
      </c>
      <c r="I170" s="75">
        <f>'FY26'!L170</f>
        <v>120995.6</v>
      </c>
      <c r="J170" s="75">
        <f>'FY27'!L170</f>
        <v>121895.1</v>
      </c>
      <c r="K170" s="75">
        <f>'FY28'!L170</f>
        <v>124388</v>
      </c>
      <c r="L170" s="75">
        <f>'FY29'!L170</f>
        <v>126251.25</v>
      </c>
      <c r="M170" s="75">
        <f>'FY30'!L170</f>
        <v>128178.75</v>
      </c>
      <c r="N170" s="75">
        <f>'FY31'!L170</f>
        <v>130106.25</v>
      </c>
      <c r="P170" s="75">
        <f>'FY26'!R170</f>
        <v>287541.10000000003</v>
      </c>
      <c r="Q170" s="75">
        <f>'FY27'!R170</f>
        <v>291575.92499999999</v>
      </c>
      <c r="R170" s="75">
        <f>'FY28'!R170</f>
        <v>299838</v>
      </c>
      <c r="S170" s="75">
        <f>'FY29'!R170</f>
        <v>308382.1875</v>
      </c>
      <c r="T170" s="75">
        <f>'FY30'!R170</f>
        <v>314212.5</v>
      </c>
      <c r="U170" s="75">
        <f>'FY31'!R170</f>
        <v>317798.4375</v>
      </c>
      <c r="W170" s="75">
        <f>'FY26'!X170</f>
        <v>55789.8</v>
      </c>
      <c r="X170" s="75">
        <f>'FY27'!X170</f>
        <v>63200.475000000006</v>
      </c>
      <c r="Y170" s="75">
        <f>'FY28'!X170</f>
        <v>64735</v>
      </c>
      <c r="Z170" s="75">
        <f>'FY29'!X170</f>
        <v>65950.3125</v>
      </c>
      <c r="AA170" s="75">
        <f>'FY30'!X170</f>
        <v>67206.5625</v>
      </c>
      <c r="AB170" s="75">
        <f>'FY31'!X170</f>
        <v>68343.75</v>
      </c>
      <c r="AC170" s="194"/>
      <c r="AD170" s="75">
        <f>'FY27'!AD170</f>
        <v>50868.675000000003</v>
      </c>
      <c r="AE170" s="75">
        <f>'FY28'!AD170</f>
        <v>74294</v>
      </c>
      <c r="AF170" s="75">
        <f>'FY29'!AD170</f>
        <v>108443.4375</v>
      </c>
      <c r="AG170" s="75">
        <f>'FY30'!AD170</f>
        <v>142642.5</v>
      </c>
      <c r="AH170" s="75">
        <f>'FY31'!AD170</f>
        <v>172251.5625</v>
      </c>
      <c r="AI170" s="194"/>
      <c r="AJ170" s="75">
        <f>'FY27'!AJ170</f>
        <v>0</v>
      </c>
      <c r="AK170" s="75">
        <f>'FY28'!AJ170</f>
        <v>94380</v>
      </c>
      <c r="AL170" s="75">
        <f>'FY29'!AJ170</f>
        <v>114092.8125</v>
      </c>
      <c r="AM170" s="75">
        <f>'FY30'!AJ170</f>
        <v>52019.625</v>
      </c>
      <c r="AN170" s="75">
        <f>'FY31'!AJ170</f>
        <v>129979.6875</v>
      </c>
      <c r="AP170" s="75">
        <f>'FY26'!AD170</f>
        <v>-363383</v>
      </c>
      <c r="AQ170" s="75">
        <f>'FY27'!AP170</f>
        <v>0</v>
      </c>
      <c r="AR170" s="75">
        <f>'FY28'!AP170</f>
        <v>0</v>
      </c>
      <c r="AS170" s="75">
        <f>'FY29'!AP170</f>
        <v>0</v>
      </c>
      <c r="AT170" s="75">
        <f>'FY30'!AP170</f>
        <v>0</v>
      </c>
      <c r="AU170" s="75">
        <f>'FY31'!AP170</f>
        <v>0</v>
      </c>
      <c r="AW170" s="75">
        <f>'FY26'!AJ170</f>
        <v>221939.10000000009</v>
      </c>
      <c r="AX170" s="75">
        <f>'FY27'!AV170</f>
        <v>649435.27500000002</v>
      </c>
      <c r="AY170" s="75">
        <f>'FY28'!AV170</f>
        <v>782023</v>
      </c>
      <c r="AZ170" s="75">
        <f>'FY29'!AV170</f>
        <v>849371.25</v>
      </c>
      <c r="BA170" s="75">
        <f>'FY30'!AV170</f>
        <v>832438.6875</v>
      </c>
      <c r="BB170" s="75">
        <f>'FY31'!AV170</f>
        <v>948585.9375</v>
      </c>
      <c r="BD170" s="166"/>
      <c r="BE170" s="166"/>
    </row>
    <row r="171" spans="1:57" x14ac:dyDescent="0.25">
      <c r="A171" s="34"/>
      <c r="B171" s="76">
        <f>'FY26'!F171</f>
        <v>779487.6</v>
      </c>
      <c r="C171" s="76">
        <f>'FY27'!F171</f>
        <v>787705.14</v>
      </c>
      <c r="D171" s="76">
        <f>'FY28'!F171</f>
        <v>805513.53</v>
      </c>
      <c r="E171" s="76">
        <f>'FY29'!F171</f>
        <v>822632.68630000006</v>
      </c>
      <c r="F171" s="76">
        <f>'FY30'!F171</f>
        <v>836892.20938900008</v>
      </c>
      <c r="G171" s="76">
        <f>'FY31'!F171</f>
        <v>851186.68557067006</v>
      </c>
      <c r="I171" s="76">
        <f>'FY26'!L171</f>
        <v>776987.6</v>
      </c>
      <c r="J171" s="76">
        <f>'FY27'!L171</f>
        <v>787705.14</v>
      </c>
      <c r="K171" s="76">
        <f>'FY28'!L171</f>
        <v>805513.53</v>
      </c>
      <c r="L171" s="76">
        <f>'FY29'!L171</f>
        <v>822632.68630000006</v>
      </c>
      <c r="M171" s="76">
        <f>'FY30'!L171</f>
        <v>836892.20938900008</v>
      </c>
      <c r="N171" s="76">
        <f>'FY31'!L171</f>
        <v>851186.68557067006</v>
      </c>
      <c r="P171" s="76">
        <f>'FY26'!R171</f>
        <v>1832318.1</v>
      </c>
      <c r="Q171" s="76">
        <f>'FY27'!R171</f>
        <v>1864175.0450000002</v>
      </c>
      <c r="R171" s="76">
        <f>'FY28'!R171</f>
        <v>1908582.52</v>
      </c>
      <c r="S171" s="76">
        <f>'FY29'!R171</f>
        <v>1972417.6485000001</v>
      </c>
      <c r="T171" s="76">
        <f>'FY30'!R171</f>
        <v>2012717.5064800002</v>
      </c>
      <c r="U171" s="76">
        <f>'FY31'!R171</f>
        <v>2041176.8601744</v>
      </c>
      <c r="W171" s="76">
        <f>'FY26'!X171</f>
        <v>368475.8</v>
      </c>
      <c r="X171" s="76">
        <f>'FY27'!X171</f>
        <v>385221.91500000004</v>
      </c>
      <c r="Y171" s="76">
        <f>'FY28'!X171</f>
        <v>405242.41000000003</v>
      </c>
      <c r="Z171" s="76">
        <f>'FY29'!X171</f>
        <v>428938.14529999997</v>
      </c>
      <c r="AA171" s="76">
        <f>'FY30'!X171</f>
        <v>438924.75528400001</v>
      </c>
      <c r="AB171" s="76">
        <f>'FY31'!X171</f>
        <v>447739.73226751998</v>
      </c>
      <c r="AC171" s="199"/>
      <c r="AD171" s="76">
        <f>'FY27'!AD171</f>
        <v>308899.39500000002</v>
      </c>
      <c r="AE171" s="76">
        <f>'FY28'!AD171</f>
        <v>458323.45999999996</v>
      </c>
      <c r="AF171" s="76">
        <f>'FY29'!AD171</f>
        <v>696013.9375</v>
      </c>
      <c r="AG171" s="76">
        <f>'FY30'!AD171</f>
        <v>904929.25116400002</v>
      </c>
      <c r="AH171" s="76">
        <f>'FY31'!AD171</f>
        <v>1083192.96940448</v>
      </c>
      <c r="AI171" s="199"/>
      <c r="AJ171" s="76">
        <f>'FY27'!AJ171</f>
        <v>0</v>
      </c>
      <c r="AK171" s="76">
        <f>'FY28'!AJ171</f>
        <v>535742.4</v>
      </c>
      <c r="AL171" s="76">
        <f>'FY29'!AJ171</f>
        <v>691447.3125</v>
      </c>
      <c r="AM171" s="76">
        <f>'FY30'!AJ171</f>
        <v>748626.35499999998</v>
      </c>
      <c r="AN171" s="76">
        <f>'FY31'!AJ171</f>
        <v>828913.51630000002</v>
      </c>
      <c r="AP171" s="76">
        <f>'FY26'!AD171</f>
        <v>-353383</v>
      </c>
      <c r="AQ171" s="76">
        <f>'FY27'!AP171</f>
        <v>10300</v>
      </c>
      <c r="AR171" s="76">
        <f>'FY28'!AP171</f>
        <v>10609</v>
      </c>
      <c r="AS171" s="76">
        <f>'FY29'!AP171</f>
        <v>10927.27</v>
      </c>
      <c r="AT171" s="76">
        <f>'FY30'!AP171</f>
        <v>11255.088100000001</v>
      </c>
      <c r="AU171" s="76">
        <f>'FY31'!AP171</f>
        <v>11592.740743</v>
      </c>
      <c r="AW171" s="76">
        <f>'FY26'!AJ171</f>
        <v>3403886.1</v>
      </c>
      <c r="AX171" s="76">
        <f>'FY27'!AV171</f>
        <v>4144006.6350000002</v>
      </c>
      <c r="AY171" s="76">
        <f>'FY28'!AV171</f>
        <v>4929526.8499999996</v>
      </c>
      <c r="AZ171" s="76">
        <f>'FY29'!AV171</f>
        <v>5445009.6864</v>
      </c>
      <c r="BA171" s="76">
        <f>'FY30'!AV171</f>
        <v>5790237.3748060009</v>
      </c>
      <c r="BB171" s="76">
        <f>'FY31'!AV171</f>
        <v>6114989.1900307406</v>
      </c>
      <c r="BD171" s="166"/>
      <c r="BE171" s="166"/>
    </row>
    <row r="172" spans="1:57" x14ac:dyDescent="0.25">
      <c r="B172" s="77">
        <f>'FY26'!F172</f>
        <v>0</v>
      </c>
      <c r="C172" s="77">
        <f>'FY27'!F172</f>
        <v>0</v>
      </c>
      <c r="D172" s="77">
        <f>'FY28'!F172</f>
        <v>0</v>
      </c>
      <c r="E172" s="77">
        <f>'FY29'!F172</f>
        <v>0</v>
      </c>
      <c r="F172" s="77">
        <f>'FY30'!F172</f>
        <v>0</v>
      </c>
      <c r="G172" s="77">
        <f>'FY31'!F172</f>
        <v>0</v>
      </c>
      <c r="I172" s="77">
        <f>'FY26'!L172</f>
        <v>0</v>
      </c>
      <c r="J172" s="77">
        <f>'FY27'!L172</f>
        <v>0</v>
      </c>
      <c r="K172" s="77">
        <f>'FY28'!L172</f>
        <v>0</v>
      </c>
      <c r="L172" s="77">
        <f>'FY29'!L172</f>
        <v>0</v>
      </c>
      <c r="M172" s="77">
        <f>'FY30'!L172</f>
        <v>0</v>
      </c>
      <c r="N172" s="77">
        <f>'FY31'!L172</f>
        <v>0</v>
      </c>
      <c r="P172" s="77">
        <f>'FY26'!R172</f>
        <v>0</v>
      </c>
      <c r="Q172" s="77">
        <f>'FY27'!R172</f>
        <v>0</v>
      </c>
      <c r="R172" s="77">
        <f>'FY28'!R172</f>
        <v>0</v>
      </c>
      <c r="S172" s="77">
        <f>'FY29'!R172</f>
        <v>0</v>
      </c>
      <c r="T172" s="77">
        <f>'FY30'!R172</f>
        <v>0</v>
      </c>
      <c r="U172" s="77">
        <f>'FY31'!R172</f>
        <v>0</v>
      </c>
      <c r="W172" s="77">
        <f>'FY26'!X172</f>
        <v>0</v>
      </c>
      <c r="X172" s="77">
        <f>'FY27'!X172</f>
        <v>0</v>
      </c>
      <c r="Y172" s="77">
        <f>'FY28'!X172</f>
        <v>0</v>
      </c>
      <c r="Z172" s="77">
        <f>'FY29'!X172</f>
        <v>0</v>
      </c>
      <c r="AA172" s="77">
        <f>'FY30'!X172</f>
        <v>0</v>
      </c>
      <c r="AB172" s="77">
        <f>'FY31'!X172</f>
        <v>0</v>
      </c>
      <c r="AC172" s="79"/>
      <c r="AD172" s="77">
        <f>'FY27'!AD172</f>
        <v>0</v>
      </c>
      <c r="AE172" s="77">
        <f>'FY28'!AD172</f>
        <v>0</v>
      </c>
      <c r="AF172" s="77">
        <f>'FY29'!AD172</f>
        <v>0</v>
      </c>
      <c r="AG172" s="77">
        <f>'FY30'!AD172</f>
        <v>0</v>
      </c>
      <c r="AH172" s="77">
        <f>'FY31'!AD172</f>
        <v>0</v>
      </c>
      <c r="AI172" s="79"/>
      <c r="AJ172" s="77">
        <f>'FY27'!AJ172</f>
        <v>0</v>
      </c>
      <c r="AK172" s="77">
        <f>'FY28'!AJ172</f>
        <v>0</v>
      </c>
      <c r="AL172" s="77">
        <f>'FY29'!AJ172</f>
        <v>0</v>
      </c>
      <c r="AM172" s="77">
        <f>'FY30'!AJ172</f>
        <v>0</v>
      </c>
      <c r="AN172" s="77">
        <f>'FY31'!AJ172</f>
        <v>0</v>
      </c>
      <c r="AP172" s="77">
        <f>'FY26'!AD172</f>
        <v>0</v>
      </c>
      <c r="AQ172" s="77">
        <f>'FY27'!AP172</f>
        <v>0</v>
      </c>
      <c r="AR172" s="77">
        <f>'FY28'!AP172</f>
        <v>0</v>
      </c>
      <c r="AS172" s="77">
        <f>'FY29'!AP172</f>
        <v>0</v>
      </c>
      <c r="AT172" s="77">
        <f>'FY30'!AP172</f>
        <v>0</v>
      </c>
      <c r="AU172" s="77">
        <f>'FY31'!AP172</f>
        <v>0</v>
      </c>
      <c r="AW172" s="77">
        <f>'FY26'!AJ172</f>
        <v>0</v>
      </c>
      <c r="AX172" s="77">
        <f>'FY27'!AV172</f>
        <v>0</v>
      </c>
      <c r="AY172" s="77">
        <f>'FY28'!AV172</f>
        <v>0</v>
      </c>
      <c r="AZ172" s="77">
        <f>'FY29'!AV172</f>
        <v>0</v>
      </c>
      <c r="BA172" s="77">
        <f>'FY30'!AV172</f>
        <v>0</v>
      </c>
      <c r="BB172" s="77">
        <f>'FY31'!AV172</f>
        <v>0</v>
      </c>
      <c r="BD172" s="166"/>
      <c r="BE172" s="166"/>
    </row>
    <row r="173" spans="1:57" x14ac:dyDescent="0.25">
      <c r="A173" s="28"/>
      <c r="B173" s="78" t="str">
        <f>'FY26'!F173</f>
        <v>FY26- Mtn</v>
      </c>
      <c r="C173" s="78" t="str">
        <f>'FY27'!F173</f>
        <v>FY27- Mtn</v>
      </c>
      <c r="D173" s="78" t="str">
        <f>'FY28'!F173</f>
        <v>FY28- Mtn</v>
      </c>
      <c r="E173" s="78" t="str">
        <f>'FY29'!F173</f>
        <v>FY29- Mtn</v>
      </c>
      <c r="F173" s="78" t="str">
        <f>'FY30'!F173</f>
        <v>FY30- Mtn</v>
      </c>
      <c r="G173" s="78" t="str">
        <f>'FY31'!F173</f>
        <v>FY31- Mtn</v>
      </c>
      <c r="I173" s="78" t="str">
        <f>'FY26'!L173</f>
        <v>FY26- Bon</v>
      </c>
      <c r="J173" s="78" t="str">
        <f>'FY27'!L173</f>
        <v>FY27- Bon</v>
      </c>
      <c r="K173" s="78" t="str">
        <f>'FY28'!L173</f>
        <v>FY28- Bon</v>
      </c>
      <c r="L173" s="78" t="str">
        <f>'FY29'!L173</f>
        <v>FY29- Bon</v>
      </c>
      <c r="M173" s="78" t="str">
        <f>'FY30'!L173</f>
        <v>FY30- Bon</v>
      </c>
      <c r="N173" s="78" t="str">
        <f>'FY31'!L173</f>
        <v>FY31- Bon</v>
      </c>
      <c r="P173" s="78" t="str">
        <f>'FY26'!R173</f>
        <v>FY26- East</v>
      </c>
      <c r="Q173" s="78" t="str">
        <f>'FY27'!R173</f>
        <v>FY27- East</v>
      </c>
      <c r="R173" s="78" t="str">
        <f>'FY28'!R173</f>
        <v>FY28- East</v>
      </c>
      <c r="S173" s="78" t="str">
        <f>'FY29'!R173</f>
        <v>FY29- East</v>
      </c>
      <c r="T173" s="78" t="str">
        <f>'FY30'!R173</f>
        <v>FY30- East</v>
      </c>
      <c r="U173" s="78" t="str">
        <f>'FY31'!R173</f>
        <v>FY31- East</v>
      </c>
      <c r="W173" s="78" t="str">
        <f>'FY26'!X173</f>
        <v>FY26- Cactus</v>
      </c>
      <c r="X173" s="78" t="str">
        <f>'FY27'!X173</f>
        <v>FY27- Cactus</v>
      </c>
      <c r="Y173" s="78" t="str">
        <f>'FY28'!X173</f>
        <v>FY28- Cactus</v>
      </c>
      <c r="Z173" s="78" t="str">
        <f>'FY29'!X173</f>
        <v>FY29- Cactus</v>
      </c>
      <c r="AA173" s="78" t="str">
        <f>'FY30'!X173</f>
        <v>FY30- Cactus</v>
      </c>
      <c r="AB173" s="78" t="str">
        <f>'FY31'!X173</f>
        <v>FY31- Cactus</v>
      </c>
      <c r="AC173" s="201"/>
      <c r="AD173" s="78" t="str">
        <f>'FY27'!AD173</f>
        <v>FY27- Sahara</v>
      </c>
      <c r="AE173" s="78" t="str">
        <f>'FY28'!AD173</f>
        <v>FY28- Sahara</v>
      </c>
      <c r="AF173" s="78" t="str">
        <f>'FY29'!AD173</f>
        <v>FY29- Sahara</v>
      </c>
      <c r="AG173" s="78" t="str">
        <f>'FY30'!AD173</f>
        <v>FY30- Sahara</v>
      </c>
      <c r="AH173" s="78" t="str">
        <f>'FY31'!AD173</f>
        <v>FY31- Sahara</v>
      </c>
      <c r="AI173" s="201"/>
      <c r="AJ173" s="78" t="str">
        <f>'FY27'!AJ173</f>
        <v>FY27- VV</v>
      </c>
      <c r="AK173" s="78" t="str">
        <f>'FY28'!AJ173</f>
        <v>FY27- VV</v>
      </c>
      <c r="AL173" s="78" t="str">
        <f>'FY29'!AJ173</f>
        <v>FY29- VV</v>
      </c>
      <c r="AM173" s="78" t="str">
        <f>'FY30'!AJ173</f>
        <v>FY30- VV</v>
      </c>
      <c r="AN173" s="78" t="str">
        <f>'FY31'!AJ173</f>
        <v>FY31- VV</v>
      </c>
      <c r="AP173" s="78" t="str">
        <f>'FY26'!AD173</f>
        <v>FY26 - Central</v>
      </c>
      <c r="AQ173" s="78" t="str">
        <f>'FY27'!AP173</f>
        <v>FY27 - Central</v>
      </c>
      <c r="AR173" s="78" t="str">
        <f>'FY28'!AP173</f>
        <v>FY28 - Central</v>
      </c>
      <c r="AS173" s="78" t="str">
        <f>'FY29'!AP173</f>
        <v>FY29 - Central</v>
      </c>
      <c r="AT173" s="78" t="str">
        <f>'FY30'!AP173</f>
        <v>FY30 - Central</v>
      </c>
      <c r="AU173" s="78" t="str">
        <f>'FY31'!AP173</f>
        <v>FY31 - Central</v>
      </c>
      <c r="AW173" s="78" t="str">
        <f>'FY26'!AJ173</f>
        <v>FY26- Sys</v>
      </c>
      <c r="AX173" s="78" t="str">
        <f>'FY27'!AV173</f>
        <v>FY27- Sys</v>
      </c>
      <c r="AY173" s="78" t="str">
        <f>'FY28'!AV173</f>
        <v>FY28- Sys</v>
      </c>
      <c r="AZ173" s="78" t="str">
        <f>'FY29'!AV173</f>
        <v>FY29- Sys</v>
      </c>
      <c r="BA173" s="78" t="str">
        <f>'FY30'!AV173</f>
        <v>FY29- Sys</v>
      </c>
      <c r="BB173" s="78" t="str">
        <f>'FY31'!AV173</f>
        <v>FY31- Sys</v>
      </c>
      <c r="BD173" s="166"/>
      <c r="BE173" s="166"/>
    </row>
    <row r="174" spans="1:57" x14ac:dyDescent="0.25">
      <c r="A174" s="35" t="s">
        <v>123</v>
      </c>
      <c r="B174" s="75">
        <f>'FY26'!F174</f>
        <v>12600</v>
      </c>
      <c r="C174" s="75">
        <f>'FY27'!F174</f>
        <v>12852</v>
      </c>
      <c r="D174" s="75">
        <f>'FY28'!F174</f>
        <v>12980.52</v>
      </c>
      <c r="E174" s="75">
        <f>'FY29'!F174</f>
        <v>13110.325200000001</v>
      </c>
      <c r="F174" s="75">
        <f>'FY30'!F174</f>
        <v>13241.428452000002</v>
      </c>
      <c r="G174" s="75">
        <f>'FY31'!F174</f>
        <v>13373.842736520002</v>
      </c>
      <c r="I174" s="75">
        <f>'FY26'!L174</f>
        <v>12600</v>
      </c>
      <c r="J174" s="75">
        <f>'FY27'!L174</f>
        <v>12726</v>
      </c>
      <c r="K174" s="75">
        <f>'FY28'!L174</f>
        <v>12980.52</v>
      </c>
      <c r="L174" s="75">
        <f>'FY29'!L174</f>
        <v>13240.1304</v>
      </c>
      <c r="M174" s="75">
        <f>'FY30'!L174</f>
        <v>13372.531704000001</v>
      </c>
      <c r="N174" s="75">
        <f>'FY31'!L174</f>
        <v>13506.257021040001</v>
      </c>
      <c r="P174" s="75">
        <f>'FY26'!R174</f>
        <v>27000</v>
      </c>
      <c r="Q174" s="75">
        <f>'FY27'!R174</f>
        <v>27540</v>
      </c>
      <c r="R174" s="75">
        <f>'FY28'!R174</f>
        <v>28090.799999999999</v>
      </c>
      <c r="S174" s="75">
        <f>'FY29'!R174</f>
        <v>28652.615999999998</v>
      </c>
      <c r="T174" s="75">
        <f>'FY30'!R174</f>
        <v>28939.142159999999</v>
      </c>
      <c r="U174" s="75">
        <f>'FY31'!R174</f>
        <v>29228.533581600001</v>
      </c>
      <c r="W174" s="75">
        <f>'FY26'!X174</f>
        <v>13440</v>
      </c>
      <c r="X174" s="75">
        <f>'FY27'!X174</f>
        <v>13843.2</v>
      </c>
      <c r="Y174" s="75">
        <f>'FY28'!X174</f>
        <v>14120.064</v>
      </c>
      <c r="Z174" s="75">
        <f>'FY29'!X174</f>
        <v>14402.46528</v>
      </c>
      <c r="AA174" s="75">
        <f>'FY30'!X174</f>
        <v>14546.489932800001</v>
      </c>
      <c r="AB174" s="75">
        <f>'FY31'!X174</f>
        <v>14691.954832128002</v>
      </c>
      <c r="AC174" s="194"/>
      <c r="AD174" s="75">
        <f>'FY27'!AD174</f>
        <v>13843.2</v>
      </c>
      <c r="AE174" s="75">
        <f>'FY28'!AD174</f>
        <v>14258.496000000001</v>
      </c>
      <c r="AF174" s="75">
        <f>'FY29'!AD174</f>
        <v>15595.23</v>
      </c>
      <c r="AG174" s="75">
        <f>'FY30'!AD174</f>
        <v>15907.134599999999</v>
      </c>
      <c r="AH174" s="75">
        <f>'FY31'!AD174</f>
        <v>16066.205946</v>
      </c>
      <c r="AI174" s="194"/>
      <c r="AJ174" s="75">
        <f>'FY27'!AJ174</f>
        <v>0</v>
      </c>
      <c r="AK174" s="75">
        <f>'FY28'!AJ174</f>
        <v>13843.2</v>
      </c>
      <c r="AL174" s="75">
        <f>'FY29'!AJ174</f>
        <v>14120.064</v>
      </c>
      <c r="AM174" s="75">
        <f>'FY30'!AJ174</f>
        <v>14402.46528</v>
      </c>
      <c r="AN174" s="75">
        <f>'FY31'!AJ174</f>
        <v>14690.5145856</v>
      </c>
      <c r="AP174" s="75">
        <f>'FY26'!AD174</f>
        <v>0</v>
      </c>
      <c r="AQ174" s="75">
        <f>'FY27'!AP174</f>
        <v>0</v>
      </c>
      <c r="AR174" s="75">
        <f>'FY28'!AP174</f>
        <v>0</v>
      </c>
      <c r="AS174" s="75">
        <f>'FY29'!AP174</f>
        <v>0</v>
      </c>
      <c r="AT174" s="75">
        <f>'FY30'!AP174</f>
        <v>0</v>
      </c>
      <c r="AU174" s="75">
        <f>'FY31'!AP174</f>
        <v>0</v>
      </c>
      <c r="AW174" s="75">
        <f>'FY26'!AJ174</f>
        <v>65640</v>
      </c>
      <c r="AX174" s="75">
        <f>'FY27'!AV174</f>
        <v>80804.399999999994</v>
      </c>
      <c r="AY174" s="75">
        <f>'FY28'!AV174</f>
        <v>96273.599999999991</v>
      </c>
      <c r="AZ174" s="75">
        <f>'FY29'!AV174</f>
        <v>99120.830879999994</v>
      </c>
      <c r="BA174" s="75">
        <f>'FY30'!AV174</f>
        <v>100409.19212880002</v>
      </c>
      <c r="BB174" s="75">
        <f>'FY31'!AV174</f>
        <v>101557.30870288801</v>
      </c>
      <c r="BD174" s="166"/>
      <c r="BE174" s="166"/>
    </row>
    <row r="175" spans="1:57" x14ac:dyDescent="0.25">
      <c r="A175" s="32" t="s">
        <v>124</v>
      </c>
      <c r="B175" s="75">
        <f>'FY26'!F175</f>
        <v>1000</v>
      </c>
      <c r="C175" s="75">
        <f>'FY27'!F175</f>
        <v>1200</v>
      </c>
      <c r="D175" s="75">
        <f>'FY28'!F175</f>
        <v>1400</v>
      </c>
      <c r="E175" s="75">
        <f>'FY29'!F175</f>
        <v>1600</v>
      </c>
      <c r="F175" s="75">
        <f>'FY30'!F175</f>
        <v>1800</v>
      </c>
      <c r="G175" s="75">
        <f>'FY31'!F175</f>
        <v>2000</v>
      </c>
      <c r="I175" s="75">
        <f>'FY26'!L175</f>
        <v>1000</v>
      </c>
      <c r="J175" s="75">
        <f>'FY27'!L175</f>
        <v>1200</v>
      </c>
      <c r="K175" s="75">
        <f>'FY28'!L175</f>
        <v>1400</v>
      </c>
      <c r="L175" s="75">
        <f>'FY29'!L175</f>
        <v>1600</v>
      </c>
      <c r="M175" s="75">
        <f>'FY30'!L175</f>
        <v>1800</v>
      </c>
      <c r="N175" s="75">
        <f>'FY31'!L175</f>
        <v>2000</v>
      </c>
      <c r="P175" s="75">
        <f>'FY26'!R175</f>
        <v>2000</v>
      </c>
      <c r="Q175" s="75">
        <f>'FY27'!R175</f>
        <v>2200</v>
      </c>
      <c r="R175" s="75">
        <f>'FY28'!R175</f>
        <v>2400</v>
      </c>
      <c r="S175" s="75">
        <f>'FY29'!R175</f>
        <v>2600</v>
      </c>
      <c r="T175" s="75">
        <f>'FY30'!R175</f>
        <v>2800</v>
      </c>
      <c r="U175" s="75">
        <f>'FY31'!R175</f>
        <v>3050</v>
      </c>
      <c r="W175" s="75">
        <f>'FY26'!X175</f>
        <v>500</v>
      </c>
      <c r="X175" s="75">
        <f>'FY27'!X175</f>
        <v>650</v>
      </c>
      <c r="Y175" s="75">
        <f>'FY28'!X175</f>
        <v>800</v>
      </c>
      <c r="Z175" s="75">
        <f>'FY29'!X175</f>
        <v>950</v>
      </c>
      <c r="AA175" s="75">
        <f>'FY30'!X175</f>
        <v>1100</v>
      </c>
      <c r="AB175" s="75">
        <f>'FY31'!X175</f>
        <v>1250</v>
      </c>
      <c r="AC175" s="194"/>
      <c r="AD175" s="75">
        <f>'FY27'!AD175</f>
        <v>650</v>
      </c>
      <c r="AE175" s="75">
        <f>'FY28'!AD175</f>
        <v>800</v>
      </c>
      <c r="AF175" s="75">
        <f>'FY29'!AD175</f>
        <v>1000</v>
      </c>
      <c r="AG175" s="75">
        <f>'FY30'!AD175</f>
        <v>1200</v>
      </c>
      <c r="AH175" s="75">
        <f>'FY31'!AD175</f>
        <v>1450</v>
      </c>
      <c r="AI175" s="194"/>
      <c r="AJ175" s="75">
        <f>'FY27'!AJ175</f>
        <v>0</v>
      </c>
      <c r="AK175" s="75">
        <f>'FY28'!AJ175</f>
        <v>650</v>
      </c>
      <c r="AL175" s="75">
        <f>'FY29'!AJ175</f>
        <v>800</v>
      </c>
      <c r="AM175" s="75">
        <f>'FY30'!AJ175</f>
        <v>950</v>
      </c>
      <c r="AN175" s="75">
        <f>'FY31'!AJ175</f>
        <v>1100</v>
      </c>
      <c r="AP175" s="75">
        <f>'FY26'!AD175</f>
        <v>0</v>
      </c>
      <c r="AQ175" s="75">
        <f>'FY27'!AP175</f>
        <v>0</v>
      </c>
      <c r="AR175" s="75">
        <f>'FY28'!AP175</f>
        <v>0</v>
      </c>
      <c r="AS175" s="75">
        <f>'FY29'!AP175</f>
        <v>0</v>
      </c>
      <c r="AT175" s="75">
        <f>'FY30'!AP175</f>
        <v>0</v>
      </c>
      <c r="AU175" s="75">
        <f>'FY31'!AP175</f>
        <v>0</v>
      </c>
      <c r="AW175" s="75">
        <f>'FY26'!AJ175</f>
        <v>4500</v>
      </c>
      <c r="AX175" s="75">
        <f>'FY27'!AV175</f>
        <v>5900</v>
      </c>
      <c r="AY175" s="75">
        <f>'FY28'!AV175</f>
        <v>7450</v>
      </c>
      <c r="AZ175" s="75">
        <f>'FY29'!AV175</f>
        <v>8550</v>
      </c>
      <c r="BA175" s="75">
        <f>'FY30'!AV175</f>
        <v>9650</v>
      </c>
      <c r="BB175" s="75">
        <f>'FY31'!AV175</f>
        <v>10850</v>
      </c>
      <c r="BD175" s="166"/>
      <c r="BE175" s="166"/>
    </row>
    <row r="176" spans="1:57" x14ac:dyDescent="0.25">
      <c r="A176" s="32" t="s">
        <v>125</v>
      </c>
      <c r="B176" s="75">
        <f>'FY26'!F176</f>
        <v>6500</v>
      </c>
      <c r="C176" s="75">
        <f>'FY27'!F176</f>
        <v>6750</v>
      </c>
      <c r="D176" s="75">
        <f>'FY28'!F176</f>
        <v>7000</v>
      </c>
      <c r="E176" s="75">
        <f>'FY29'!F176</f>
        <v>7250</v>
      </c>
      <c r="F176" s="75">
        <f>'FY30'!F176</f>
        <v>7500</v>
      </c>
      <c r="G176" s="75">
        <f>'FY31'!F176</f>
        <v>7750</v>
      </c>
      <c r="I176" s="75">
        <f>'FY26'!L176</f>
        <v>6500</v>
      </c>
      <c r="J176" s="75">
        <f>'FY27'!L176</f>
        <v>6750</v>
      </c>
      <c r="K176" s="75">
        <f>'FY28'!L176</f>
        <v>7000</v>
      </c>
      <c r="L176" s="75">
        <f>'FY29'!L176</f>
        <v>7200</v>
      </c>
      <c r="M176" s="75">
        <f>'FY30'!L176</f>
        <v>7500</v>
      </c>
      <c r="N176" s="75">
        <f>'FY31'!L176</f>
        <v>8000</v>
      </c>
      <c r="P176" s="75">
        <f>'FY26'!R176</f>
        <v>6500</v>
      </c>
      <c r="Q176" s="75">
        <f>'FY27'!R176</f>
        <v>7000</v>
      </c>
      <c r="R176" s="75">
        <f>'FY28'!R176</f>
        <v>7500</v>
      </c>
      <c r="S176" s="75">
        <f>'FY29'!R176</f>
        <v>8000</v>
      </c>
      <c r="T176" s="75">
        <f>'FY30'!R176</f>
        <v>8500</v>
      </c>
      <c r="U176" s="75">
        <f>'FY31'!R176</f>
        <v>9000</v>
      </c>
      <c r="W176" s="75">
        <f>'FY26'!X176</f>
        <v>6500</v>
      </c>
      <c r="X176" s="75">
        <f>'FY27'!X176</f>
        <v>7000</v>
      </c>
      <c r="Y176" s="75">
        <f>'FY28'!X176</f>
        <v>7500</v>
      </c>
      <c r="Z176" s="75">
        <f>'FY29'!X176</f>
        <v>8000</v>
      </c>
      <c r="AA176" s="75">
        <f>'FY30'!X176</f>
        <v>8500</v>
      </c>
      <c r="AB176" s="75">
        <f>'FY31'!X176</f>
        <v>9000</v>
      </c>
      <c r="AC176" s="194"/>
      <c r="AD176" s="75">
        <f>'FY27'!AD176</f>
        <v>7000</v>
      </c>
      <c r="AE176" s="75">
        <f>'FY28'!AD176</f>
        <v>7500</v>
      </c>
      <c r="AF176" s="75">
        <f>'FY29'!AD176</f>
        <v>8000</v>
      </c>
      <c r="AG176" s="75">
        <f>'FY30'!AD176</f>
        <v>8500</v>
      </c>
      <c r="AH176" s="75">
        <f>'FY31'!AD176</f>
        <v>9000</v>
      </c>
      <c r="AI176" s="194"/>
      <c r="AJ176" s="75">
        <f>'FY27'!AJ176</f>
        <v>0</v>
      </c>
      <c r="AK176" s="75">
        <f>'FY28'!AJ176</f>
        <v>7000</v>
      </c>
      <c r="AL176" s="75">
        <f>'FY29'!AJ176</f>
        <v>7500</v>
      </c>
      <c r="AM176" s="75">
        <f>'FY30'!AJ176</f>
        <v>8000</v>
      </c>
      <c r="AN176" s="75">
        <f>'FY31'!AJ176</f>
        <v>8500</v>
      </c>
      <c r="AP176" s="75">
        <f>'FY26'!AD176</f>
        <v>0</v>
      </c>
      <c r="AQ176" s="75">
        <f>'FY27'!AP176</f>
        <v>0</v>
      </c>
      <c r="AR176" s="75">
        <f>'FY28'!AP176</f>
        <v>0</v>
      </c>
      <c r="AS176" s="75">
        <f>'FY29'!AP176</f>
        <v>0</v>
      </c>
      <c r="AT176" s="75">
        <f>'FY30'!AP176</f>
        <v>0</v>
      </c>
      <c r="AU176" s="75">
        <f>'FY31'!AP176</f>
        <v>0</v>
      </c>
      <c r="AW176" s="75">
        <f>'FY26'!AJ176</f>
        <v>26000</v>
      </c>
      <c r="AX176" s="75">
        <f>'FY27'!AV176</f>
        <v>34500</v>
      </c>
      <c r="AY176" s="75">
        <f>'FY28'!AV176</f>
        <v>43500</v>
      </c>
      <c r="AZ176" s="75">
        <f>'FY29'!AV176</f>
        <v>45950</v>
      </c>
      <c r="BA176" s="75">
        <f>'FY30'!AV176</f>
        <v>48500</v>
      </c>
      <c r="BB176" s="75">
        <f>'FY31'!AV176</f>
        <v>51250</v>
      </c>
      <c r="BD176" s="166"/>
      <c r="BE176" s="166"/>
    </row>
    <row r="177" spans="1:57" x14ac:dyDescent="0.25">
      <c r="A177" s="32" t="s">
        <v>126</v>
      </c>
      <c r="B177" s="75">
        <f>'FY26'!F177</f>
        <v>39000</v>
      </c>
      <c r="C177" s="75">
        <f>'FY27'!F177</f>
        <v>39500</v>
      </c>
      <c r="D177" s="75">
        <f>'FY28'!F177</f>
        <v>40000</v>
      </c>
      <c r="E177" s="75">
        <f>'FY29'!F177</f>
        <v>40500</v>
      </c>
      <c r="F177" s="75">
        <f>'FY30'!F177</f>
        <v>41000</v>
      </c>
      <c r="G177" s="75">
        <f>'FY31'!F177</f>
        <v>41500</v>
      </c>
      <c r="I177" s="75">
        <f>'FY26'!L177</f>
        <v>39000</v>
      </c>
      <c r="J177" s="75">
        <f>'FY27'!L177</f>
        <v>39500</v>
      </c>
      <c r="K177" s="75">
        <f>'FY28'!L177</f>
        <v>40000</v>
      </c>
      <c r="L177" s="75">
        <f>'FY29'!L177</f>
        <v>40500</v>
      </c>
      <c r="M177" s="75">
        <f>'FY30'!L177</f>
        <v>41000</v>
      </c>
      <c r="N177" s="75">
        <f>'FY31'!L177</f>
        <v>41750</v>
      </c>
      <c r="P177" s="75">
        <f>'FY26'!R177</f>
        <v>100000</v>
      </c>
      <c r="Q177" s="75">
        <f>'FY27'!R177</f>
        <v>103000</v>
      </c>
      <c r="R177" s="75">
        <f>'FY28'!R177</f>
        <v>105000</v>
      </c>
      <c r="S177" s="75">
        <f>'FY29'!R177</f>
        <v>106500</v>
      </c>
      <c r="T177" s="75">
        <f>'FY30'!R177</f>
        <v>108000</v>
      </c>
      <c r="U177" s="75">
        <f>'FY31'!R177</f>
        <v>110500</v>
      </c>
      <c r="W177" s="75">
        <f>'FY26'!X177</f>
        <v>17500</v>
      </c>
      <c r="X177" s="75">
        <f>'FY27'!X177</f>
        <v>20000</v>
      </c>
      <c r="Y177" s="75">
        <f>'FY28'!X177</f>
        <v>21000</v>
      </c>
      <c r="Z177" s="75">
        <f>'FY29'!X177</f>
        <v>21500</v>
      </c>
      <c r="AA177" s="75">
        <f>'FY30'!X177</f>
        <v>22500</v>
      </c>
      <c r="AB177" s="75">
        <f>'FY31'!X177</f>
        <v>23500</v>
      </c>
      <c r="AC177" s="194"/>
      <c r="AD177" s="75">
        <f>'FY27'!AD177</f>
        <v>20000</v>
      </c>
      <c r="AE177" s="75">
        <f>'FY28'!AD177</f>
        <v>22500</v>
      </c>
      <c r="AF177" s="75">
        <f>'FY29'!AD177</f>
        <v>33000</v>
      </c>
      <c r="AG177" s="75">
        <f>'FY30'!AD177</f>
        <v>40000</v>
      </c>
      <c r="AH177" s="75">
        <f>'FY31'!AD177</f>
        <v>60000</v>
      </c>
      <c r="AI177" s="194"/>
      <c r="AJ177" s="75">
        <f>'FY27'!AJ177</f>
        <v>0</v>
      </c>
      <c r="AK177" s="75">
        <f>'FY28'!AJ177</f>
        <v>40000</v>
      </c>
      <c r="AL177" s="75">
        <f>'FY29'!AJ177</f>
        <v>41200</v>
      </c>
      <c r="AM177" s="75">
        <f>'FY30'!AJ177</f>
        <v>42436</v>
      </c>
      <c r="AN177" s="75">
        <f>'FY31'!AJ177</f>
        <v>43709.08</v>
      </c>
      <c r="AP177" s="75">
        <f>'FY26'!AD177</f>
        <v>0</v>
      </c>
      <c r="AQ177" s="75">
        <f>'FY27'!AP177</f>
        <v>0</v>
      </c>
      <c r="AR177" s="75">
        <f>'FY28'!AP177</f>
        <v>0</v>
      </c>
      <c r="AS177" s="75">
        <f>'FY29'!AP177</f>
        <v>0</v>
      </c>
      <c r="AT177" s="75">
        <f>'FY30'!AP177</f>
        <v>0</v>
      </c>
      <c r="AU177" s="75">
        <f>'FY31'!AP177</f>
        <v>0</v>
      </c>
      <c r="AW177" s="75">
        <f>'FY26'!AJ177</f>
        <v>195500</v>
      </c>
      <c r="AX177" s="75">
        <f>'FY27'!AV177</f>
        <v>222000</v>
      </c>
      <c r="AY177" s="75">
        <f>'FY28'!AV177</f>
        <v>268500</v>
      </c>
      <c r="AZ177" s="75">
        <f>'FY29'!AV177</f>
        <v>283200</v>
      </c>
      <c r="BA177" s="75">
        <f>'FY30'!AV177</f>
        <v>294936</v>
      </c>
      <c r="BB177" s="75">
        <f>'FY31'!AV177</f>
        <v>320959.08</v>
      </c>
      <c r="BD177" s="166"/>
      <c r="BE177" s="166"/>
    </row>
    <row r="178" spans="1:57" x14ac:dyDescent="0.25">
      <c r="A178" s="32" t="s">
        <v>127</v>
      </c>
      <c r="B178" s="75">
        <f>'FY26'!F178</f>
        <v>7041.8</v>
      </c>
      <c r="C178" s="75">
        <f>'FY27'!F178</f>
        <v>7182.6360000000004</v>
      </c>
      <c r="D178" s="75">
        <f>'FY28'!F178</f>
        <v>7326.2887200000005</v>
      </c>
      <c r="E178" s="75">
        <f>'FY29'!F178</f>
        <v>7472.8144944000005</v>
      </c>
      <c r="F178" s="75">
        <f>'FY30'!F178</f>
        <v>7622.2707842880009</v>
      </c>
      <c r="G178" s="75">
        <f>'FY31'!F178</f>
        <v>7774.7161999737609</v>
      </c>
      <c r="I178" s="75">
        <f>'FY26'!L178</f>
        <v>7041.8</v>
      </c>
      <c r="J178" s="75">
        <f>'FY27'!L178</f>
        <v>7112.2179999999998</v>
      </c>
      <c r="K178" s="75">
        <f>'FY28'!L178</f>
        <v>7254.4623599999995</v>
      </c>
      <c r="L178" s="75">
        <f>'FY29'!L178</f>
        <v>7399.5516072</v>
      </c>
      <c r="M178" s="75">
        <f>'FY30'!L178</f>
        <v>7547.5426393440002</v>
      </c>
      <c r="N178" s="75">
        <f>'FY31'!L178</f>
        <v>7698.4934921308804</v>
      </c>
      <c r="P178" s="75">
        <f>'FY26'!R178</f>
        <v>16734.550000000003</v>
      </c>
      <c r="Q178" s="75">
        <f>'FY27'!R178</f>
        <v>17181.033000000003</v>
      </c>
      <c r="R178" s="75">
        <f>'FY28'!R178</f>
        <v>17660.061720000005</v>
      </c>
      <c r="S178" s="75">
        <f>'FY29'!R178</f>
        <v>18253.149022800004</v>
      </c>
      <c r="T178" s="75">
        <f>'FY30'!R178</f>
        <v>18684.943945920004</v>
      </c>
      <c r="U178" s="75">
        <f>'FY31'!R178</f>
        <v>18990.576243321124</v>
      </c>
      <c r="W178" s="75">
        <f>'FY26'!X178</f>
        <v>3246.9</v>
      </c>
      <c r="X178" s="75">
        <f>'FY27'!X178</f>
        <v>3760.5815000000002</v>
      </c>
      <c r="Y178" s="75">
        <f>'FY28'!X178</f>
        <v>3887.9332750000008</v>
      </c>
      <c r="Z178" s="75">
        <f>'FY29'!X178</f>
        <v>4019.541633150001</v>
      </c>
      <c r="AA178" s="75">
        <f>'FY30'!X178</f>
        <v>4155.5473528415005</v>
      </c>
      <c r="AB178" s="75">
        <f>'FY31'!X178</f>
        <v>4288.1548008357013</v>
      </c>
      <c r="AC178" s="194"/>
      <c r="AD178" s="75">
        <f>'FY27'!AD178</f>
        <v>3026.8095000000003</v>
      </c>
      <c r="AE178" s="75">
        <f>'FY28'!AD178</f>
        <v>4418.7185400000008</v>
      </c>
      <c r="AF178" s="75">
        <f>'FY29'!AD178</f>
        <v>6481.6987626</v>
      </c>
      <c r="AG178" s="75">
        <f>'FY30'!AD178</f>
        <v>8565.5318823360012</v>
      </c>
      <c r="AH178" s="75">
        <f>'FY31'!AD178</f>
        <v>10394.093242741681</v>
      </c>
      <c r="AI178" s="194"/>
      <c r="AJ178" s="75">
        <f>'FY27'!AJ178</f>
        <v>0</v>
      </c>
      <c r="AK178" s="75">
        <f>'FY28'!AJ178</f>
        <v>5503.29</v>
      </c>
      <c r="AL178" s="75">
        <f>'FY29'!AJ178</f>
        <v>6685.6506900000004</v>
      </c>
      <c r="AM178" s="75">
        <f>'FY30'!AJ178</f>
        <v>7656.1855146000007</v>
      </c>
      <c r="AN178" s="75">
        <f>'FY31'!AJ178</f>
        <v>7689.5115761880006</v>
      </c>
      <c r="AP178" s="75">
        <f>'FY26'!AD178</f>
        <v>0</v>
      </c>
      <c r="AQ178" s="75">
        <f>'FY27'!AP178</f>
        <v>0</v>
      </c>
      <c r="AR178" s="75">
        <f>'FY28'!AP178</f>
        <v>0</v>
      </c>
      <c r="AS178" s="75">
        <f>'FY29'!AP178</f>
        <v>0</v>
      </c>
      <c r="AT178" s="75">
        <f>'FY30'!AP178</f>
        <v>0</v>
      </c>
      <c r="AU178" s="75">
        <f>'FY31'!AP178</f>
        <v>0</v>
      </c>
      <c r="AW178" s="75">
        <f>'FY26'!AJ178</f>
        <v>34065.050000000003</v>
      </c>
      <c r="AX178" s="75">
        <f>'FY27'!AV178</f>
        <v>38263.278000000006</v>
      </c>
      <c r="AY178" s="75">
        <f>'FY28'!AV178</f>
        <v>46050.754615000013</v>
      </c>
      <c r="AZ178" s="75">
        <f>'FY29'!AV178</f>
        <v>50312.406210150002</v>
      </c>
      <c r="BA178" s="75">
        <f>'FY30'!AV178</f>
        <v>54232.022119329507</v>
      </c>
      <c r="BB178" s="75">
        <f>'FY31'!AV178</f>
        <v>56835.545555191144</v>
      </c>
      <c r="BD178" s="166"/>
      <c r="BE178" s="166"/>
    </row>
    <row r="179" spans="1:57" x14ac:dyDescent="0.25">
      <c r="A179" s="32" t="s">
        <v>128</v>
      </c>
      <c r="B179" s="75">
        <f>'FY26'!F179</f>
        <v>174000</v>
      </c>
      <c r="C179" s="75">
        <f>'FY27'!F179</f>
        <v>191400.00000000003</v>
      </c>
      <c r="D179" s="75">
        <f>'FY28'!F179</f>
        <v>210540.00000000006</v>
      </c>
      <c r="E179" s="75">
        <f>'FY29'!F179</f>
        <v>231594.00000000009</v>
      </c>
      <c r="F179" s="75">
        <f>'FY30'!F179</f>
        <v>254753.40000000011</v>
      </c>
      <c r="G179" s="75">
        <f>'FY31'!F179</f>
        <v>280228.74000000017</v>
      </c>
      <c r="I179" s="75">
        <f>'FY26'!L179</f>
        <v>174000</v>
      </c>
      <c r="J179" s="75">
        <f>'FY27'!L179</f>
        <v>191400.00000000003</v>
      </c>
      <c r="K179" s="75">
        <f>'FY28'!L179</f>
        <v>210540.00000000006</v>
      </c>
      <c r="L179" s="75">
        <f>'FY29'!L179</f>
        <v>231594.00000000009</v>
      </c>
      <c r="M179" s="75">
        <f>'FY30'!L179</f>
        <v>254753.40000000011</v>
      </c>
      <c r="N179" s="75">
        <f>'FY31'!L179</f>
        <v>280228.74000000017</v>
      </c>
      <c r="P179" s="75">
        <f>'FY26'!R179</f>
        <v>425000</v>
      </c>
      <c r="Q179" s="75">
        <f>'FY27'!R179</f>
        <v>467500.00000000006</v>
      </c>
      <c r="R179" s="75">
        <f>'FY28'!R179</f>
        <v>514250.00000000012</v>
      </c>
      <c r="S179" s="75">
        <f>'FY29'!R179</f>
        <v>565675.00000000012</v>
      </c>
      <c r="T179" s="75">
        <f>'FY30'!R179</f>
        <v>622242.50000000023</v>
      </c>
      <c r="U179" s="75">
        <f>'FY31'!R179</f>
        <v>684466.75000000035</v>
      </c>
      <c r="W179" s="75">
        <f>'FY26'!X179</f>
        <v>80000</v>
      </c>
      <c r="X179" s="75">
        <f>'FY27'!X179</f>
        <v>46000</v>
      </c>
      <c r="Y179" s="75">
        <f>'FY28'!X179</f>
        <v>52899.999999999993</v>
      </c>
      <c r="Z179" s="75">
        <f>'FY29'!X179</f>
        <v>60834.999999999985</v>
      </c>
      <c r="AA179" s="75">
        <f>'FY30'!X179</f>
        <v>69960.249999999971</v>
      </c>
      <c r="AB179" s="75">
        <f>'FY31'!X179</f>
        <v>78355.479999999981</v>
      </c>
      <c r="AC179" s="194"/>
      <c r="AD179" s="75">
        <f>'FY27'!AD179</f>
        <v>50000</v>
      </c>
      <c r="AE179" s="75">
        <f>'FY28'!AD179</f>
        <v>60000</v>
      </c>
      <c r="AF179" s="75">
        <f>'FY29'!AD179</f>
        <v>120000</v>
      </c>
      <c r="AG179" s="75">
        <f>'FY30'!AD179</f>
        <v>200000</v>
      </c>
      <c r="AH179" s="75">
        <f>'FY31'!AD179</f>
        <v>250000</v>
      </c>
      <c r="AI179" s="194"/>
      <c r="AJ179" s="75">
        <f>'FY27'!AJ179</f>
        <v>0</v>
      </c>
      <c r="AK179" s="75">
        <f>'FY28'!AJ179</f>
        <v>125000</v>
      </c>
      <c r="AL179" s="75">
        <f>'FY29'!AJ179</f>
        <v>140000</v>
      </c>
      <c r="AM179" s="75">
        <f>'FY30'!AJ179</f>
        <v>180000</v>
      </c>
      <c r="AN179" s="75">
        <f>'FY31'!AJ179</f>
        <v>208000</v>
      </c>
      <c r="AP179" s="75">
        <f>'FY26'!AD179</f>
        <v>0</v>
      </c>
      <c r="AQ179" s="75">
        <f>'FY27'!AP179</f>
        <v>0</v>
      </c>
      <c r="AR179" s="75">
        <f>'FY28'!AP179</f>
        <v>0</v>
      </c>
      <c r="AS179" s="75">
        <f>'FY29'!AP179</f>
        <v>0</v>
      </c>
      <c r="AT179" s="75">
        <f>'FY30'!AP179</f>
        <v>0</v>
      </c>
      <c r="AU179" s="75">
        <f>'FY31'!AP179</f>
        <v>0</v>
      </c>
      <c r="AW179" s="75">
        <f>'FY26'!AJ179</f>
        <v>853000</v>
      </c>
      <c r="AX179" s="75">
        <f>'FY27'!AV179</f>
        <v>946300.00000000012</v>
      </c>
      <c r="AY179" s="75">
        <f>'FY28'!AV179</f>
        <v>1173230.0000000002</v>
      </c>
      <c r="AZ179" s="75">
        <f>'FY29'!AV179</f>
        <v>1349698.0000000002</v>
      </c>
      <c r="BA179" s="75">
        <f>'FY30'!AV179</f>
        <v>1581709.5500000005</v>
      </c>
      <c r="BB179" s="75">
        <f>'FY31'!AV179</f>
        <v>1781279.7100000007</v>
      </c>
      <c r="BD179" s="166"/>
      <c r="BE179" s="166"/>
    </row>
    <row r="180" spans="1:57" x14ac:dyDescent="0.25">
      <c r="A180" s="32" t="s">
        <v>129</v>
      </c>
      <c r="B180" s="75">
        <f>'FY26'!F180</f>
        <v>427500</v>
      </c>
      <c r="C180" s="75">
        <f>'FY27'!F180</f>
        <v>436050</v>
      </c>
      <c r="D180" s="75">
        <f>'FY28'!F180</f>
        <v>444600</v>
      </c>
      <c r="E180" s="75">
        <f>'FY29'!F180</f>
        <v>453150</v>
      </c>
      <c r="F180" s="75">
        <f>'FY30'!F180</f>
        <v>461700</v>
      </c>
      <c r="G180" s="75">
        <f>'FY31'!F180</f>
        <v>470250</v>
      </c>
      <c r="I180" s="75">
        <f>'FY26'!L180</f>
        <v>393750</v>
      </c>
      <c r="J180" s="75">
        <f>'FY27'!L180</f>
        <v>401625</v>
      </c>
      <c r="K180" s="75">
        <f>'FY28'!L180</f>
        <v>409500</v>
      </c>
      <c r="L180" s="75">
        <f>'FY29'!L180</f>
        <v>417375</v>
      </c>
      <c r="M180" s="75">
        <f>'FY30'!L180</f>
        <v>425250</v>
      </c>
      <c r="N180" s="75">
        <f>'FY31'!L180</f>
        <v>433125</v>
      </c>
      <c r="P180" s="75">
        <f>'FY26'!R180</f>
        <v>495000</v>
      </c>
      <c r="Q180" s="75">
        <f>'FY27'!R180</f>
        <v>504900</v>
      </c>
      <c r="R180" s="75">
        <f>'FY28'!R180</f>
        <v>514800</v>
      </c>
      <c r="S180" s="75">
        <f>'FY29'!R180</f>
        <v>524700</v>
      </c>
      <c r="T180" s="75">
        <f>'FY30'!R180</f>
        <v>534600</v>
      </c>
      <c r="U180" s="75">
        <f>'FY31'!R180</f>
        <v>544500</v>
      </c>
      <c r="W180" s="75">
        <f>'FY26'!X180</f>
        <v>148500</v>
      </c>
      <c r="X180" s="75">
        <f>'FY27'!X180</f>
        <v>148500</v>
      </c>
      <c r="Y180" s="75">
        <f>'FY28'!X180</f>
        <v>148500</v>
      </c>
      <c r="Z180" s="75">
        <f>'FY29'!X180</f>
        <v>151469.99999999997</v>
      </c>
      <c r="AA180" s="75">
        <f>'FY30'!X180</f>
        <v>154440</v>
      </c>
      <c r="AB180" s="75">
        <f>'FY31'!X180</f>
        <v>154440</v>
      </c>
      <c r="AC180" s="194"/>
      <c r="AD180" s="75">
        <f>'FY27'!AD180</f>
        <v>182250</v>
      </c>
      <c r="AE180" s="75">
        <f>'FY28'!AD180</f>
        <v>185895</v>
      </c>
      <c r="AF180" s="75">
        <f>'FY29'!AD180</f>
        <v>277695</v>
      </c>
      <c r="AG180" s="75">
        <f>'FY30'!AD180</f>
        <v>376740</v>
      </c>
      <c r="AH180" s="75">
        <f>'FY31'!AD180</f>
        <v>383985</v>
      </c>
      <c r="AI180" s="194"/>
      <c r="AJ180" s="75">
        <f>'FY27'!AJ180</f>
        <v>0</v>
      </c>
      <c r="AK180" s="75">
        <f>'FY28'!AJ180</f>
        <v>292500</v>
      </c>
      <c r="AL180" s="75">
        <f>'FY29'!AJ180</f>
        <v>292500</v>
      </c>
      <c r="AM180" s="75">
        <f>'FY30'!AJ180</f>
        <v>292500</v>
      </c>
      <c r="AN180" s="75">
        <f>'FY31'!AJ180</f>
        <v>292500</v>
      </c>
      <c r="AP180" s="75">
        <f>'FY26'!AD180</f>
        <v>0</v>
      </c>
      <c r="AQ180" s="75">
        <f>'FY27'!AP180</f>
        <v>0</v>
      </c>
      <c r="AR180" s="75">
        <f>'FY28'!AP180</f>
        <v>0</v>
      </c>
      <c r="AS180" s="75">
        <f>'FY29'!AP180</f>
        <v>0</v>
      </c>
      <c r="AT180" s="75">
        <f>'FY30'!AP180</f>
        <v>0</v>
      </c>
      <c r="AU180" s="75">
        <f>'FY31'!AP180</f>
        <v>0</v>
      </c>
      <c r="AW180" s="75">
        <f>'FY26'!AJ180</f>
        <v>1464750</v>
      </c>
      <c r="AX180" s="75">
        <f>'FY27'!AV180</f>
        <v>1673325</v>
      </c>
      <c r="AY180" s="75">
        <f>'FY28'!AV180</f>
        <v>1995795</v>
      </c>
      <c r="AZ180" s="75">
        <f>'FY29'!AV180</f>
        <v>2116890</v>
      </c>
      <c r="BA180" s="75">
        <f>'FY30'!AV180</f>
        <v>2245230</v>
      </c>
      <c r="BB180" s="75">
        <f>'FY31'!AV180</f>
        <v>2278800</v>
      </c>
      <c r="BD180" s="166"/>
      <c r="BE180" s="166"/>
    </row>
    <row r="181" spans="1:57" x14ac:dyDescent="0.25">
      <c r="A181" s="32" t="s">
        <v>130</v>
      </c>
      <c r="B181" s="75">
        <f>'FY26'!F181</f>
        <v>566559</v>
      </c>
      <c r="C181" s="75">
        <f>'FY27'!F181</f>
        <v>573804</v>
      </c>
      <c r="D181" s="75">
        <f>'FY28'!F181</f>
        <v>581049</v>
      </c>
      <c r="E181" s="75">
        <f>'FY29'!F181</f>
        <v>588294</v>
      </c>
      <c r="F181" s="75">
        <f>'FY30'!F181</f>
        <v>595539</v>
      </c>
      <c r="G181" s="75">
        <f>'FY31'!F181</f>
        <v>602784</v>
      </c>
      <c r="I181" s="75">
        <f>'FY26'!L181</f>
        <v>422280</v>
      </c>
      <c r="J181" s="75">
        <f>'FY27'!L181</f>
        <v>427680</v>
      </c>
      <c r="K181" s="75">
        <f>'FY28'!L181</f>
        <v>433080</v>
      </c>
      <c r="L181" s="75">
        <f>'FY29'!L181</f>
        <v>438479.99999999994</v>
      </c>
      <c r="M181" s="75">
        <f>'FY30'!L181</f>
        <v>443880</v>
      </c>
      <c r="N181" s="75">
        <f>'FY31'!L181</f>
        <v>449280</v>
      </c>
      <c r="P181" s="75">
        <f>'FY26'!R181</f>
        <v>774180</v>
      </c>
      <c r="Q181" s="75">
        <f>'FY27'!R181</f>
        <v>784080</v>
      </c>
      <c r="R181" s="75">
        <f>'FY28'!R181</f>
        <v>793980</v>
      </c>
      <c r="S181" s="75">
        <f>'FY29'!R181</f>
        <v>803880</v>
      </c>
      <c r="T181" s="75">
        <f>'FY30'!R181</f>
        <v>813780</v>
      </c>
      <c r="U181" s="75">
        <f>'FY31'!R181</f>
        <v>823680</v>
      </c>
      <c r="W181" s="75">
        <f>'FY26'!X181</f>
        <v>232254</v>
      </c>
      <c r="X181" s="75">
        <f>'FY27'!X181</f>
        <v>237600</v>
      </c>
      <c r="Y181" s="75">
        <f>'FY28'!X181</f>
        <v>237600</v>
      </c>
      <c r="Z181" s="75">
        <f>'FY29'!X181</f>
        <v>240570</v>
      </c>
      <c r="AA181" s="75">
        <f>'FY30'!X181</f>
        <v>243539.99999999997</v>
      </c>
      <c r="AB181" s="75">
        <f>'FY31'!X181</f>
        <v>243539.99999999997</v>
      </c>
      <c r="AC181" s="194"/>
      <c r="AD181" s="75">
        <f>'FY27'!AD181</f>
        <v>309600</v>
      </c>
      <c r="AE181" s="75">
        <f>'FY28'!AD181</f>
        <v>313470</v>
      </c>
      <c r="AF181" s="75">
        <f>'FY29'!AD181</f>
        <v>459270</v>
      </c>
      <c r="AG181" s="75">
        <f>'FY30'!AD181</f>
        <v>612539.99999999988</v>
      </c>
      <c r="AH181" s="75">
        <f>'FY31'!AD181</f>
        <v>620010.00000000012</v>
      </c>
      <c r="AI181" s="194"/>
      <c r="AJ181" s="75">
        <f>'FY27'!AJ181</f>
        <v>0</v>
      </c>
      <c r="AK181" s="75">
        <f>'FY28'!AJ181</f>
        <v>468000</v>
      </c>
      <c r="AL181" s="75">
        <f>'FY29'!AJ181</f>
        <v>468000</v>
      </c>
      <c r="AM181" s="75">
        <f>'FY30'!AJ181</f>
        <v>468000</v>
      </c>
      <c r="AN181" s="75">
        <f>'FY31'!AJ181</f>
        <v>468000</v>
      </c>
      <c r="AP181" s="75">
        <f>'FY26'!AD181</f>
        <v>0</v>
      </c>
      <c r="AQ181" s="75">
        <f>'FY27'!AP181</f>
        <v>0</v>
      </c>
      <c r="AR181" s="75">
        <f>'FY28'!AP181</f>
        <v>0</v>
      </c>
      <c r="AS181" s="75">
        <f>'FY29'!AP181</f>
        <v>0</v>
      </c>
      <c r="AT181" s="75">
        <f>'FY30'!AP181</f>
        <v>0</v>
      </c>
      <c r="AU181" s="75">
        <f>'FY31'!AP181</f>
        <v>0</v>
      </c>
      <c r="AW181" s="75">
        <f>'FY26'!AJ181</f>
        <v>1995273</v>
      </c>
      <c r="AX181" s="75">
        <f>'FY27'!AV181</f>
        <v>2332764</v>
      </c>
      <c r="AY181" s="75">
        <f>'FY28'!AV181</f>
        <v>2827179</v>
      </c>
      <c r="AZ181" s="75">
        <f>'FY29'!AV181</f>
        <v>2998494</v>
      </c>
      <c r="BA181" s="75">
        <f>'FY30'!AV181</f>
        <v>3177279</v>
      </c>
      <c r="BB181" s="75">
        <f>'FY31'!AV181</f>
        <v>3207294</v>
      </c>
      <c r="BD181" s="166"/>
      <c r="BE181" s="166"/>
    </row>
    <row r="182" spans="1:57" x14ac:dyDescent="0.25">
      <c r="A182" s="32" t="s">
        <v>131</v>
      </c>
      <c r="B182" s="75">
        <f>'FY26'!F182</f>
        <v>5000</v>
      </c>
      <c r="C182" s="75">
        <f>'FY27'!F182</f>
        <v>5500</v>
      </c>
      <c r="D182" s="75">
        <f>'FY28'!F182</f>
        <v>6000</v>
      </c>
      <c r="E182" s="75">
        <f>'FY29'!F182</f>
        <v>6500</v>
      </c>
      <c r="F182" s="75">
        <f>'FY30'!F182</f>
        <v>7000</v>
      </c>
      <c r="G182" s="75">
        <f>'FY31'!F182</f>
        <v>7500</v>
      </c>
      <c r="I182" s="75">
        <f>'FY26'!L182</f>
        <v>5000</v>
      </c>
      <c r="J182" s="75">
        <f>'FY27'!L182</f>
        <v>5500</v>
      </c>
      <c r="K182" s="75">
        <f>'FY28'!L182</f>
        <v>6000</v>
      </c>
      <c r="L182" s="75">
        <f>'FY29'!L182</f>
        <v>6500</v>
      </c>
      <c r="M182" s="75">
        <f>'FY30'!L182</f>
        <v>7000</v>
      </c>
      <c r="N182" s="75">
        <f>'FY31'!L182</f>
        <v>7500</v>
      </c>
      <c r="P182" s="75">
        <f>'FY26'!R182</f>
        <v>6000</v>
      </c>
      <c r="Q182" s="75">
        <f>'FY27'!R182</f>
        <v>6500</v>
      </c>
      <c r="R182" s="75">
        <f>'FY28'!R182</f>
        <v>7000</v>
      </c>
      <c r="S182" s="75">
        <f>'FY29'!R182</f>
        <v>7500</v>
      </c>
      <c r="T182" s="75">
        <f>'FY30'!R182</f>
        <v>8000</v>
      </c>
      <c r="U182" s="75">
        <f>'FY31'!R182</f>
        <v>8500</v>
      </c>
      <c r="W182" s="75">
        <f>'FY26'!X182</f>
        <v>5000</v>
      </c>
      <c r="X182" s="75">
        <f>'FY27'!X182</f>
        <v>7500</v>
      </c>
      <c r="Y182" s="75">
        <f>'FY28'!X182</f>
        <v>8500</v>
      </c>
      <c r="Z182" s="75">
        <f>'FY29'!X182</f>
        <v>9000</v>
      </c>
      <c r="AA182" s="75">
        <f>'FY30'!X182</f>
        <v>9500</v>
      </c>
      <c r="AB182" s="75">
        <f>'FY31'!X182</f>
        <v>10000</v>
      </c>
      <c r="AC182" s="194"/>
      <c r="AD182" s="75">
        <f>'FY27'!AD182</f>
        <v>7500</v>
      </c>
      <c r="AE182" s="75">
        <f>'FY28'!AD182</f>
        <v>8000</v>
      </c>
      <c r="AF182" s="75">
        <f>'FY29'!AD182</f>
        <v>9000</v>
      </c>
      <c r="AG182" s="75">
        <f>'FY30'!AD182</f>
        <v>9500</v>
      </c>
      <c r="AH182" s="75">
        <f>'FY31'!AD182</f>
        <v>10000</v>
      </c>
      <c r="AI182" s="194"/>
      <c r="AJ182" s="75">
        <f>'FY27'!AJ182</f>
        <v>0</v>
      </c>
      <c r="AK182" s="75">
        <f>'FY28'!AJ182</f>
        <v>7500</v>
      </c>
      <c r="AL182" s="75">
        <f>'FY29'!AJ182</f>
        <v>7750</v>
      </c>
      <c r="AM182" s="75">
        <f>'FY30'!AJ182</f>
        <v>8000</v>
      </c>
      <c r="AN182" s="75">
        <f>'FY31'!AJ182</f>
        <v>8250</v>
      </c>
      <c r="AP182" s="75">
        <f>'FY26'!AD182</f>
        <v>0</v>
      </c>
      <c r="AQ182" s="75">
        <f>'FY27'!AP182</f>
        <v>0</v>
      </c>
      <c r="AR182" s="75">
        <f>'FY28'!AP182</f>
        <v>0</v>
      </c>
      <c r="AS182" s="75">
        <f>'FY29'!AP182</f>
        <v>0</v>
      </c>
      <c r="AT182" s="75">
        <f>'FY30'!AP182</f>
        <v>0</v>
      </c>
      <c r="AU182" s="75">
        <f>'FY31'!AP182</f>
        <v>0</v>
      </c>
      <c r="AW182" s="75">
        <f>'FY26'!AJ182</f>
        <v>21000</v>
      </c>
      <c r="AX182" s="75">
        <f>'FY27'!AV182</f>
        <v>32500</v>
      </c>
      <c r="AY182" s="75">
        <f>'FY28'!AV182</f>
        <v>43000</v>
      </c>
      <c r="AZ182" s="75">
        <f>'FY29'!AV182</f>
        <v>46250</v>
      </c>
      <c r="BA182" s="75">
        <f>'FY30'!AV182</f>
        <v>49000</v>
      </c>
      <c r="BB182" s="75">
        <f>'FY31'!AV182</f>
        <v>51750</v>
      </c>
      <c r="BD182" s="166"/>
      <c r="BE182" s="166"/>
    </row>
    <row r="183" spans="1:57" x14ac:dyDescent="0.25">
      <c r="A183" s="32" t="s">
        <v>132</v>
      </c>
      <c r="B183" s="75">
        <f>'FY26'!F183</f>
        <v>1000</v>
      </c>
      <c r="C183" s="75">
        <f>'FY27'!F183</f>
        <v>1250</v>
      </c>
      <c r="D183" s="75">
        <f>'FY28'!F183</f>
        <v>1500</v>
      </c>
      <c r="E183" s="75">
        <f>'FY29'!F183</f>
        <v>1750</v>
      </c>
      <c r="F183" s="75">
        <f>'FY30'!F183</f>
        <v>2000</v>
      </c>
      <c r="G183" s="75">
        <f>'FY31'!F183</f>
        <v>2250</v>
      </c>
      <c r="I183" s="75">
        <f>'FY26'!L183</f>
        <v>1000</v>
      </c>
      <c r="J183" s="75">
        <f>'FY27'!L183</f>
        <v>1250</v>
      </c>
      <c r="K183" s="75">
        <f>'FY28'!L183</f>
        <v>1450</v>
      </c>
      <c r="L183" s="75">
        <f>'FY29'!L183</f>
        <v>1650</v>
      </c>
      <c r="M183" s="75">
        <f>'FY30'!L183</f>
        <v>1850</v>
      </c>
      <c r="N183" s="75">
        <f>'FY31'!L183</f>
        <v>2050</v>
      </c>
      <c r="P183" s="75">
        <f>'FY26'!R183</f>
        <v>2000</v>
      </c>
      <c r="Q183" s="75">
        <f>'FY27'!R183</f>
        <v>2250</v>
      </c>
      <c r="R183" s="75">
        <f>'FY28'!R183</f>
        <v>2500</v>
      </c>
      <c r="S183" s="75">
        <f>'FY29'!R183</f>
        <v>2750</v>
      </c>
      <c r="T183" s="75">
        <f>'FY30'!R183</f>
        <v>3000</v>
      </c>
      <c r="U183" s="75">
        <f>'FY31'!R183</f>
        <v>3250</v>
      </c>
      <c r="W183" s="75">
        <f>'FY26'!X183</f>
        <v>1000</v>
      </c>
      <c r="X183" s="75">
        <f>'FY27'!X183</f>
        <v>1100</v>
      </c>
      <c r="Y183" s="75">
        <f>'FY28'!X183</f>
        <v>1200</v>
      </c>
      <c r="Z183" s="75">
        <f>'FY29'!X183</f>
        <v>1450</v>
      </c>
      <c r="AA183" s="75">
        <f>'FY30'!X183</f>
        <v>1750</v>
      </c>
      <c r="AB183" s="75">
        <f>'FY31'!X183</f>
        <v>2000</v>
      </c>
      <c r="AC183" s="194"/>
      <c r="AD183" s="75">
        <f>'FY27'!AD183</f>
        <v>1100</v>
      </c>
      <c r="AE183" s="75">
        <f>'FY28'!AD183</f>
        <v>1200</v>
      </c>
      <c r="AF183" s="75">
        <f>'FY29'!AD183</f>
        <v>1300</v>
      </c>
      <c r="AG183" s="75">
        <f>'FY30'!AD183</f>
        <v>1400</v>
      </c>
      <c r="AH183" s="75">
        <f>'FY31'!AD183</f>
        <v>1500</v>
      </c>
      <c r="AI183" s="194"/>
      <c r="AJ183" s="75">
        <f>'FY27'!AJ183</f>
        <v>0</v>
      </c>
      <c r="AK183" s="75">
        <f>'FY28'!AJ183</f>
        <v>1100</v>
      </c>
      <c r="AL183" s="75">
        <f>'FY29'!AJ183</f>
        <v>1200</v>
      </c>
      <c r="AM183" s="75">
        <f>'FY30'!AJ183</f>
        <v>1300</v>
      </c>
      <c r="AN183" s="75">
        <f>'FY31'!AJ183</f>
        <v>1400</v>
      </c>
      <c r="AP183" s="75">
        <f>'FY26'!AD183</f>
        <v>0</v>
      </c>
      <c r="AQ183" s="75">
        <f>'FY27'!AP183</f>
        <v>0</v>
      </c>
      <c r="AR183" s="75">
        <f>'FY28'!AP183</f>
        <v>0</v>
      </c>
      <c r="AS183" s="75">
        <f>'FY29'!AP183</f>
        <v>0</v>
      </c>
      <c r="AT183" s="75">
        <f>'FY30'!AP183</f>
        <v>0</v>
      </c>
      <c r="AU183" s="75">
        <f>'FY31'!AP183</f>
        <v>0</v>
      </c>
      <c r="AW183" s="75">
        <f>'FY26'!AJ183</f>
        <v>5000</v>
      </c>
      <c r="AX183" s="75">
        <f>'FY27'!AV183</f>
        <v>6950</v>
      </c>
      <c r="AY183" s="75">
        <f>'FY28'!AV183</f>
        <v>8950</v>
      </c>
      <c r="AZ183" s="75">
        <f>'FY29'!AV183</f>
        <v>10100</v>
      </c>
      <c r="BA183" s="75">
        <f>'FY30'!AV183</f>
        <v>11300</v>
      </c>
      <c r="BB183" s="75">
        <f>'FY31'!AV183</f>
        <v>12450</v>
      </c>
      <c r="BD183" s="166"/>
      <c r="BE183" s="166"/>
    </row>
    <row r="184" spans="1:57" x14ac:dyDescent="0.25">
      <c r="A184" s="32" t="s">
        <v>133</v>
      </c>
      <c r="B184" s="75">
        <f>'FY26'!F184</f>
        <v>1000</v>
      </c>
      <c r="C184" s="75">
        <f>'FY27'!F184</f>
        <v>1100</v>
      </c>
      <c r="D184" s="75">
        <f>'FY28'!F184</f>
        <v>1200</v>
      </c>
      <c r="E184" s="75">
        <f>'FY29'!F184</f>
        <v>1300</v>
      </c>
      <c r="F184" s="75">
        <f>'FY30'!F184</f>
        <v>1400</v>
      </c>
      <c r="G184" s="75">
        <f>'FY31'!F184</f>
        <v>1500</v>
      </c>
      <c r="I184" s="75">
        <f>'FY26'!L184</f>
        <v>1000</v>
      </c>
      <c r="J184" s="75">
        <f>'FY27'!L184</f>
        <v>1100</v>
      </c>
      <c r="K184" s="75">
        <f>'FY28'!L184</f>
        <v>1200</v>
      </c>
      <c r="L184" s="75">
        <f>'FY29'!L184</f>
        <v>1300</v>
      </c>
      <c r="M184" s="75">
        <f>'FY30'!L184</f>
        <v>1400</v>
      </c>
      <c r="N184" s="75">
        <f>'FY31'!L184</f>
        <v>1500</v>
      </c>
      <c r="P184" s="75">
        <f>'FY26'!R184</f>
        <v>2000</v>
      </c>
      <c r="Q184" s="75">
        <f>'FY27'!R184</f>
        <v>2200</v>
      </c>
      <c r="R184" s="75">
        <f>'FY28'!R184</f>
        <v>2400</v>
      </c>
      <c r="S184" s="75">
        <f>'FY29'!R184</f>
        <v>2600</v>
      </c>
      <c r="T184" s="75">
        <f>'FY30'!R184</f>
        <v>2800</v>
      </c>
      <c r="U184" s="75">
        <f>'FY31'!R184</f>
        <v>3000</v>
      </c>
      <c r="W184" s="75">
        <f>'FY26'!X184</f>
        <v>1000</v>
      </c>
      <c r="X184" s="75">
        <f>'FY27'!X184</f>
        <v>1100</v>
      </c>
      <c r="Y184" s="75">
        <f>'FY28'!X184</f>
        <v>1200</v>
      </c>
      <c r="Z184" s="75">
        <f>'FY29'!X184</f>
        <v>1300</v>
      </c>
      <c r="AA184" s="75">
        <f>'FY30'!X184</f>
        <v>1400</v>
      </c>
      <c r="AB184" s="75">
        <f>'FY31'!X184</f>
        <v>1500</v>
      </c>
      <c r="AC184" s="194"/>
      <c r="AD184" s="75">
        <f>'FY27'!AD184</f>
        <v>1100</v>
      </c>
      <c r="AE184" s="75">
        <f>'FY28'!AD184</f>
        <v>1200</v>
      </c>
      <c r="AF184" s="75">
        <f>'FY29'!AD184</f>
        <v>1300</v>
      </c>
      <c r="AG184" s="75">
        <f>'FY30'!AD184</f>
        <v>1400</v>
      </c>
      <c r="AH184" s="75">
        <f>'FY31'!AD184</f>
        <v>1500</v>
      </c>
      <c r="AI184" s="194"/>
      <c r="AJ184" s="75">
        <f>'FY27'!AJ184</f>
        <v>0</v>
      </c>
      <c r="AK184" s="75">
        <f>'FY28'!AJ184</f>
        <v>1100</v>
      </c>
      <c r="AL184" s="75">
        <f>'FY29'!AJ184</f>
        <v>1200</v>
      </c>
      <c r="AM184" s="75">
        <f>'FY30'!AJ184</f>
        <v>1300</v>
      </c>
      <c r="AN184" s="75">
        <f>'FY31'!AJ184</f>
        <v>1400</v>
      </c>
      <c r="AP184" s="75">
        <f>'FY26'!AD184</f>
        <v>0</v>
      </c>
      <c r="AQ184" s="75">
        <f>'FY27'!AP184</f>
        <v>0</v>
      </c>
      <c r="AR184" s="75">
        <f>'FY28'!AP184</f>
        <v>0</v>
      </c>
      <c r="AS184" s="75">
        <f>'FY29'!AP184</f>
        <v>0</v>
      </c>
      <c r="AT184" s="75">
        <f>'FY30'!AP184</f>
        <v>0</v>
      </c>
      <c r="AU184" s="75">
        <f>'FY31'!AP184</f>
        <v>0</v>
      </c>
      <c r="AW184" s="75">
        <f>'FY26'!AJ184</f>
        <v>5000</v>
      </c>
      <c r="AX184" s="75">
        <f>'FY27'!AV184</f>
        <v>6600</v>
      </c>
      <c r="AY184" s="75">
        <f>'FY28'!AV184</f>
        <v>8300</v>
      </c>
      <c r="AZ184" s="75">
        <f>'FY29'!AV184</f>
        <v>9000</v>
      </c>
      <c r="BA184" s="75">
        <f>'FY30'!AV184</f>
        <v>9700</v>
      </c>
      <c r="BB184" s="75">
        <f>'FY31'!AV184</f>
        <v>10400</v>
      </c>
      <c r="BD184" s="166"/>
      <c r="BE184" s="166"/>
    </row>
    <row r="185" spans="1:57" x14ac:dyDescent="0.25">
      <c r="A185" s="32" t="s">
        <v>134</v>
      </c>
      <c r="B185" s="75">
        <f>'FY26'!F185</f>
        <v>16050</v>
      </c>
      <c r="C185" s="75">
        <f>'FY27'!F185</f>
        <v>17100</v>
      </c>
      <c r="D185" s="75">
        <f>'FY28'!F185</f>
        <v>18150</v>
      </c>
      <c r="E185" s="75">
        <f>'FY29'!F185</f>
        <v>19200</v>
      </c>
      <c r="F185" s="75">
        <f>'FY30'!F185</f>
        <v>20250</v>
      </c>
      <c r="G185" s="75">
        <f>'FY31'!F185</f>
        <v>21300</v>
      </c>
      <c r="I185" s="75">
        <f>'FY26'!L185</f>
        <v>17050</v>
      </c>
      <c r="J185" s="75">
        <f>'FY27'!L185</f>
        <v>18100</v>
      </c>
      <c r="K185" s="75">
        <f>'FY28'!L185</f>
        <v>19150</v>
      </c>
      <c r="L185" s="75">
        <f>'FY29'!L185</f>
        <v>20200</v>
      </c>
      <c r="M185" s="75">
        <f>'FY30'!L185</f>
        <v>21250</v>
      </c>
      <c r="N185" s="75">
        <f>'FY31'!L185</f>
        <v>22300</v>
      </c>
      <c r="P185" s="75">
        <f>'FY26'!R185</f>
        <v>35200</v>
      </c>
      <c r="Q185" s="75">
        <f>'FY27'!R185</f>
        <v>37700</v>
      </c>
      <c r="R185" s="75">
        <f>'FY28'!R185</f>
        <v>40200</v>
      </c>
      <c r="S185" s="75">
        <f>'FY29'!R185</f>
        <v>42700</v>
      </c>
      <c r="T185" s="75">
        <f>'FY30'!R185</f>
        <v>45200</v>
      </c>
      <c r="U185" s="75">
        <f>'FY31'!R185</f>
        <v>47700</v>
      </c>
      <c r="W185" s="75">
        <f>'FY26'!X185</f>
        <v>12050</v>
      </c>
      <c r="X185" s="75">
        <f>'FY27'!X185</f>
        <v>13493</v>
      </c>
      <c r="Y185" s="75">
        <f>'FY28'!X185</f>
        <v>15011.735000000001</v>
      </c>
      <c r="Z185" s="75">
        <f>'FY29'!X185</f>
        <v>16448.193600000002</v>
      </c>
      <c r="AA185" s="75">
        <f>'FY30'!X185</f>
        <v>17587.83195</v>
      </c>
      <c r="AB185" s="75">
        <f>'FY31'!X185</f>
        <v>18911.519240760004</v>
      </c>
      <c r="AC185" s="194"/>
      <c r="AD185" s="75">
        <f>'FY27'!AD185</f>
        <v>13493</v>
      </c>
      <c r="AE185" s="75">
        <f>'FY28'!AD185</f>
        <v>14574.5</v>
      </c>
      <c r="AF185" s="75">
        <f>'FY29'!AD185</f>
        <v>15656</v>
      </c>
      <c r="AG185" s="75">
        <f>'FY30'!AD185</f>
        <v>16737.5</v>
      </c>
      <c r="AH185" s="75">
        <f>'FY31'!AD185</f>
        <v>18175.38</v>
      </c>
      <c r="AI185" s="194"/>
      <c r="AJ185" s="75">
        <f>'FY27'!AJ185</f>
        <v>0</v>
      </c>
      <c r="AK185" s="75">
        <f>'FY28'!AJ185</f>
        <v>12463</v>
      </c>
      <c r="AL185" s="75">
        <f>'FY29'!AJ185</f>
        <v>17320.994999999999</v>
      </c>
      <c r="AM185" s="75">
        <f>'FY30'!AJ185</f>
        <v>17494.204949999999</v>
      </c>
      <c r="AN185" s="75">
        <f>'FY31'!AJ185</f>
        <v>17669.146999500001</v>
      </c>
      <c r="AP185" s="75">
        <f>'FY26'!AD185</f>
        <v>0</v>
      </c>
      <c r="AQ185" s="75">
        <f>'FY27'!AP185</f>
        <v>0</v>
      </c>
      <c r="AR185" s="75">
        <f>'FY28'!AP185</f>
        <v>0</v>
      </c>
      <c r="AS185" s="75">
        <f>'FY29'!AP185</f>
        <v>0</v>
      </c>
      <c r="AT185" s="75">
        <f>'FY30'!AP185</f>
        <v>0</v>
      </c>
      <c r="AU185" s="75">
        <f>'FY31'!AP185</f>
        <v>0</v>
      </c>
      <c r="AW185" s="75">
        <f>'FY26'!AJ185</f>
        <v>80350</v>
      </c>
      <c r="AX185" s="75">
        <f>'FY27'!AV185</f>
        <v>99886</v>
      </c>
      <c r="AY185" s="75">
        <f>'FY28'!AV185</f>
        <v>119549.235</v>
      </c>
      <c r="AZ185" s="75">
        <f>'FY29'!AV185</f>
        <v>131525.18859999999</v>
      </c>
      <c r="BA185" s="75">
        <f>'FY30'!AV185</f>
        <v>138519.53690000001</v>
      </c>
      <c r="BB185" s="75">
        <f>'FY31'!AV185</f>
        <v>146056.04624026001</v>
      </c>
      <c r="BD185" s="166"/>
      <c r="BE185" s="166"/>
    </row>
    <row r="186" spans="1:57" x14ac:dyDescent="0.25">
      <c r="A186" s="32" t="s">
        <v>135</v>
      </c>
      <c r="B186" s="75">
        <f>'FY26'!F186</f>
        <v>0</v>
      </c>
      <c r="C186" s="75">
        <f>'FY27'!F186</f>
        <v>0</v>
      </c>
      <c r="D186" s="75">
        <f>'FY28'!F186</f>
        <v>0</v>
      </c>
      <c r="E186" s="75">
        <f>'FY29'!F186</f>
        <v>0</v>
      </c>
      <c r="F186" s="75">
        <f>'FY30'!F186</f>
        <v>0</v>
      </c>
      <c r="G186" s="75">
        <f>'FY31'!F186</f>
        <v>0</v>
      </c>
      <c r="I186" s="75">
        <f>'FY26'!L186</f>
        <v>0</v>
      </c>
      <c r="J186" s="75">
        <f>'FY27'!L186</f>
        <v>0</v>
      </c>
      <c r="K186" s="75">
        <f>'FY28'!L186</f>
        <v>0</v>
      </c>
      <c r="L186" s="75">
        <f>'FY29'!L186</f>
        <v>0</v>
      </c>
      <c r="M186" s="75">
        <f>'FY30'!L186</f>
        <v>0</v>
      </c>
      <c r="N186" s="75">
        <f>'FY31'!L186</f>
        <v>0</v>
      </c>
      <c r="P186" s="75">
        <f>'FY26'!R186</f>
        <v>65000</v>
      </c>
      <c r="Q186" s="75">
        <f>'FY27'!R186</f>
        <v>70000</v>
      </c>
      <c r="R186" s="75">
        <f>'FY28'!R186</f>
        <v>72500</v>
      </c>
      <c r="S186" s="75">
        <f>'FY29'!R186</f>
        <v>75000</v>
      </c>
      <c r="T186" s="75">
        <f>'FY30'!R186</f>
        <v>77500</v>
      </c>
      <c r="U186" s="75">
        <f>'FY31'!R186</f>
        <v>80000</v>
      </c>
      <c r="W186" s="75">
        <f>'FY26'!X186</f>
        <v>0</v>
      </c>
      <c r="X186" s="75">
        <f>'FY27'!X186</f>
        <v>0</v>
      </c>
      <c r="Y186" s="75">
        <f>'FY28'!X186</f>
        <v>0</v>
      </c>
      <c r="Z186" s="75">
        <f>'FY29'!X186</f>
        <v>0</v>
      </c>
      <c r="AA186" s="75">
        <f>'FY30'!X186</f>
        <v>0</v>
      </c>
      <c r="AB186" s="75">
        <f>'FY31'!X186</f>
        <v>0</v>
      </c>
      <c r="AC186" s="194"/>
      <c r="AD186" s="75">
        <f>'FY27'!AD186</f>
        <v>0</v>
      </c>
      <c r="AE186" s="75">
        <f>'FY28'!AD186</f>
        <v>0</v>
      </c>
      <c r="AF186" s="75">
        <f>'FY29'!AD186</f>
        <v>0</v>
      </c>
      <c r="AG186" s="75">
        <f>'FY30'!AD186</f>
        <v>0</v>
      </c>
      <c r="AH186" s="75">
        <f>'FY31'!AD186</f>
        <v>0</v>
      </c>
      <c r="AI186" s="194"/>
      <c r="AJ186" s="75">
        <f>'FY27'!AJ186</f>
        <v>0</v>
      </c>
      <c r="AK186" s="75">
        <f>'FY28'!AJ186</f>
        <v>0</v>
      </c>
      <c r="AL186" s="75">
        <f>'FY29'!AJ186</f>
        <v>0</v>
      </c>
      <c r="AM186" s="75">
        <f>'FY30'!AJ186</f>
        <v>0</v>
      </c>
      <c r="AN186" s="75">
        <f>'FY31'!AJ186</f>
        <v>0</v>
      </c>
      <c r="AP186" s="75">
        <f>'FY26'!AD186</f>
        <v>0</v>
      </c>
      <c r="AQ186" s="75">
        <f>'FY27'!AP186</f>
        <v>0</v>
      </c>
      <c r="AR186" s="75">
        <f>'FY28'!AP186</f>
        <v>0</v>
      </c>
      <c r="AS186" s="75">
        <f>'FY29'!AP186</f>
        <v>0</v>
      </c>
      <c r="AT186" s="75">
        <f>'FY30'!AP186</f>
        <v>0</v>
      </c>
      <c r="AU186" s="75">
        <f>'FY31'!AP186</f>
        <v>0</v>
      </c>
      <c r="AW186" s="75">
        <f>'FY26'!AJ186</f>
        <v>65000</v>
      </c>
      <c r="AX186" s="75">
        <f>'FY27'!AV186</f>
        <v>70000</v>
      </c>
      <c r="AY186" s="75">
        <f>'FY28'!AV186</f>
        <v>72500</v>
      </c>
      <c r="AZ186" s="75">
        <f>'FY29'!AV186</f>
        <v>75000</v>
      </c>
      <c r="BA186" s="75">
        <f>'FY30'!AV186</f>
        <v>77500</v>
      </c>
      <c r="BB186" s="75">
        <f>'FY31'!AV186</f>
        <v>80000</v>
      </c>
      <c r="BD186" s="166"/>
      <c r="BE186" s="166"/>
    </row>
    <row r="187" spans="1:57" x14ac:dyDescent="0.25">
      <c r="A187" s="32" t="s">
        <v>136</v>
      </c>
      <c r="B187" s="75">
        <f>'FY26'!F187</f>
        <v>0</v>
      </c>
      <c r="C187" s="75">
        <f>'FY27'!F187</f>
        <v>0</v>
      </c>
      <c r="D187" s="75">
        <f>'FY28'!F187</f>
        <v>0</v>
      </c>
      <c r="E187" s="75">
        <f>'FY29'!F187</f>
        <v>0</v>
      </c>
      <c r="F187" s="75">
        <f>'FY30'!F187</f>
        <v>0</v>
      </c>
      <c r="G187" s="75">
        <f>'FY31'!F187</f>
        <v>0</v>
      </c>
      <c r="I187" s="75">
        <f>'FY26'!L187</f>
        <v>0</v>
      </c>
      <c r="J187" s="75">
        <f>'FY27'!L187</f>
        <v>0</v>
      </c>
      <c r="K187" s="75">
        <f>'FY28'!L187</f>
        <v>0</v>
      </c>
      <c r="L187" s="75">
        <f>'FY29'!L187</f>
        <v>0</v>
      </c>
      <c r="M187" s="75">
        <f>'FY30'!L187</f>
        <v>0</v>
      </c>
      <c r="N187" s="75">
        <f>'FY31'!L187</f>
        <v>0</v>
      </c>
      <c r="P187" s="75">
        <f>'FY26'!R187</f>
        <v>0</v>
      </c>
      <c r="Q187" s="75">
        <f>'FY27'!R187</f>
        <v>0</v>
      </c>
      <c r="R187" s="75">
        <f>'FY28'!R187</f>
        <v>0</v>
      </c>
      <c r="S187" s="75">
        <f>'FY29'!R187</f>
        <v>0</v>
      </c>
      <c r="T187" s="75">
        <f>'FY30'!R187</f>
        <v>0</v>
      </c>
      <c r="U187" s="75">
        <f>'FY31'!R187</f>
        <v>0</v>
      </c>
      <c r="W187" s="75">
        <f>'FY26'!X187</f>
        <v>0</v>
      </c>
      <c r="X187" s="75">
        <f>'FY27'!X187</f>
        <v>0</v>
      </c>
      <c r="Y187" s="75">
        <f>'FY28'!X187</f>
        <v>0</v>
      </c>
      <c r="Z187" s="75">
        <f>'FY29'!X187</f>
        <v>0</v>
      </c>
      <c r="AA187" s="75">
        <f>'FY30'!X187</f>
        <v>0</v>
      </c>
      <c r="AB187" s="75">
        <f>'FY31'!X187</f>
        <v>0</v>
      </c>
      <c r="AC187" s="194"/>
      <c r="AD187" s="75">
        <f>'FY27'!AD187</f>
        <v>0</v>
      </c>
      <c r="AE187" s="75">
        <f>'FY28'!AD187</f>
        <v>0</v>
      </c>
      <c r="AF187" s="75">
        <f>'FY29'!AD187</f>
        <v>0</v>
      </c>
      <c r="AG187" s="75">
        <f>'FY30'!AD187</f>
        <v>0</v>
      </c>
      <c r="AH187" s="75">
        <f>'FY31'!AD187</f>
        <v>0</v>
      </c>
      <c r="AI187" s="194"/>
      <c r="AJ187" s="75">
        <f>'FY27'!AJ187</f>
        <v>0</v>
      </c>
      <c r="AK187" s="75">
        <f>'FY28'!AJ187</f>
        <v>0</v>
      </c>
      <c r="AL187" s="75">
        <f>'FY29'!AJ187</f>
        <v>0</v>
      </c>
      <c r="AM187" s="75">
        <f>'FY30'!AJ187</f>
        <v>0</v>
      </c>
      <c r="AN187" s="75">
        <f>'FY31'!AJ187</f>
        <v>0</v>
      </c>
      <c r="AP187" s="75">
        <f>'FY26'!AD187</f>
        <v>0</v>
      </c>
      <c r="AQ187" s="75">
        <f>'FY27'!AP187</f>
        <v>0</v>
      </c>
      <c r="AR187" s="75">
        <f>'FY28'!AP187</f>
        <v>0</v>
      </c>
      <c r="AS187" s="75">
        <f>'FY29'!AP187</f>
        <v>0</v>
      </c>
      <c r="AT187" s="75">
        <f>'FY30'!AP187</f>
        <v>0</v>
      </c>
      <c r="AU187" s="75">
        <f>'FY31'!AP187</f>
        <v>0</v>
      </c>
      <c r="AW187" s="75">
        <f>'FY26'!AJ187</f>
        <v>0</v>
      </c>
      <c r="AX187" s="75">
        <f>'FY27'!AV187</f>
        <v>0</v>
      </c>
      <c r="AY187" s="75">
        <f>'FY28'!AV187</f>
        <v>0</v>
      </c>
      <c r="AZ187" s="75">
        <f>'FY29'!AV187</f>
        <v>0</v>
      </c>
      <c r="BA187" s="75">
        <f>'FY30'!AV187</f>
        <v>0</v>
      </c>
      <c r="BB187" s="75">
        <f>'FY31'!AV187</f>
        <v>0</v>
      </c>
      <c r="BD187" s="166"/>
      <c r="BE187" s="166"/>
    </row>
    <row r="188" spans="1:57" x14ac:dyDescent="0.25">
      <c r="A188" s="32" t="s">
        <v>137</v>
      </c>
      <c r="B188" s="75">
        <f>'FY26'!F188</f>
        <v>0</v>
      </c>
      <c r="C188" s="75">
        <f>'FY27'!F188</f>
        <v>0</v>
      </c>
      <c r="D188" s="75">
        <f>'FY28'!F188</f>
        <v>0</v>
      </c>
      <c r="E188" s="75">
        <f>'FY29'!F188</f>
        <v>0</v>
      </c>
      <c r="F188" s="75">
        <f>'FY30'!F188</f>
        <v>0</v>
      </c>
      <c r="G188" s="75">
        <f>'FY31'!F188</f>
        <v>0</v>
      </c>
      <c r="I188" s="75">
        <f>'FY26'!L188</f>
        <v>0</v>
      </c>
      <c r="J188" s="75">
        <f>'FY27'!L188</f>
        <v>0</v>
      </c>
      <c r="K188" s="75">
        <f>'FY28'!L188</f>
        <v>0</v>
      </c>
      <c r="L188" s="75">
        <f>'FY29'!L188</f>
        <v>0</v>
      </c>
      <c r="M188" s="75">
        <f>'FY30'!L188</f>
        <v>0</v>
      </c>
      <c r="N188" s="75">
        <f>'FY31'!L188</f>
        <v>0</v>
      </c>
      <c r="P188" s="75">
        <f>'FY26'!R188</f>
        <v>86100</v>
      </c>
      <c r="Q188" s="75">
        <f>'FY27'!R188</f>
        <v>291100</v>
      </c>
      <c r="R188" s="75">
        <f>'FY28'!R188</f>
        <v>291100</v>
      </c>
      <c r="S188" s="75">
        <f>'FY29'!R188</f>
        <v>291100</v>
      </c>
      <c r="T188" s="75">
        <f>'FY30'!R188</f>
        <v>151100</v>
      </c>
      <c r="U188" s="75">
        <f>'FY31'!R188</f>
        <v>86100</v>
      </c>
      <c r="W188" s="75">
        <f>'FY26'!X188</f>
        <v>0</v>
      </c>
      <c r="X188" s="75">
        <f>'FY27'!X188</f>
        <v>0</v>
      </c>
      <c r="Y188" s="75">
        <f>'FY28'!X188</f>
        <v>0</v>
      </c>
      <c r="Z188" s="75">
        <f>'FY29'!X188</f>
        <v>0</v>
      </c>
      <c r="AA188" s="75">
        <f>'FY30'!X188</f>
        <v>35000</v>
      </c>
      <c r="AB188" s="75">
        <f>'FY31'!X188</f>
        <v>35000</v>
      </c>
      <c r="AC188" s="194"/>
      <c r="AD188" s="75">
        <f>'FY27'!AD188</f>
        <v>67500</v>
      </c>
      <c r="AE188" s="75">
        <f>'FY28'!AD188</f>
        <v>120700</v>
      </c>
      <c r="AF188" s="75">
        <f>'FY29'!AD188</f>
        <v>200000</v>
      </c>
      <c r="AG188" s="75">
        <f>'FY30'!AD188</f>
        <v>329000</v>
      </c>
      <c r="AH188" s="75">
        <f>'FY31'!AD188</f>
        <v>331000</v>
      </c>
      <c r="AI188" s="194"/>
      <c r="AJ188" s="75">
        <f>'FY27'!AJ188</f>
        <v>0</v>
      </c>
      <c r="AK188" s="75">
        <f>'FY28'!AJ188</f>
        <v>120000</v>
      </c>
      <c r="AL188" s="75">
        <f>'FY29'!AJ188</f>
        <v>202000</v>
      </c>
      <c r="AM188" s="75">
        <f>'FY30'!AJ188</f>
        <v>256000</v>
      </c>
      <c r="AN188" s="75">
        <f>'FY31'!AJ188</f>
        <v>0</v>
      </c>
      <c r="AP188" s="75">
        <f>'FY26'!AD188</f>
        <v>0</v>
      </c>
      <c r="AQ188" s="75">
        <f>'FY27'!AP188</f>
        <v>0</v>
      </c>
      <c r="AR188" s="75">
        <f>'FY28'!AP188</f>
        <v>0</v>
      </c>
      <c r="AS188" s="75">
        <f>'FY29'!AP188</f>
        <v>0</v>
      </c>
      <c r="AT188" s="75">
        <f>'FY30'!AP188</f>
        <v>0</v>
      </c>
      <c r="AU188" s="75">
        <f>'FY31'!AP188</f>
        <v>0</v>
      </c>
      <c r="AW188" s="75">
        <f>'FY26'!AJ188</f>
        <v>86100</v>
      </c>
      <c r="AX188" s="75">
        <f>'FY27'!AV188</f>
        <v>358600</v>
      </c>
      <c r="AY188" s="75">
        <f>'FY28'!AV188</f>
        <v>531800</v>
      </c>
      <c r="AZ188" s="75">
        <f>'FY29'!AV188</f>
        <v>693100</v>
      </c>
      <c r="BA188" s="75">
        <f>'FY30'!AV188</f>
        <v>771100</v>
      </c>
      <c r="BB188" s="75">
        <f>'FY31'!AV188</f>
        <v>452100</v>
      </c>
      <c r="BD188" s="166"/>
      <c r="BE188" s="166"/>
    </row>
    <row r="189" spans="1:57" x14ac:dyDescent="0.25">
      <c r="A189" s="32" t="s">
        <v>138</v>
      </c>
      <c r="B189" s="75">
        <f>'FY26'!F189</f>
        <v>0</v>
      </c>
      <c r="C189" s="75">
        <f>'FY27'!F189</f>
        <v>0</v>
      </c>
      <c r="D189" s="75">
        <f>'FY28'!F189</f>
        <v>0</v>
      </c>
      <c r="E189" s="75">
        <f>'FY29'!F189</f>
        <v>0</v>
      </c>
      <c r="F189" s="75">
        <f>'FY30'!F189</f>
        <v>0</v>
      </c>
      <c r="G189" s="75">
        <f>'FY31'!F189</f>
        <v>0</v>
      </c>
      <c r="I189" s="75">
        <f>'FY26'!L189</f>
        <v>0</v>
      </c>
      <c r="J189" s="75">
        <f>'FY27'!L189</f>
        <v>0</v>
      </c>
      <c r="K189" s="75">
        <f>'FY28'!L189</f>
        <v>0</v>
      </c>
      <c r="L189" s="75">
        <f>'FY29'!L189</f>
        <v>0</v>
      </c>
      <c r="M189" s="75">
        <f>'FY30'!L189</f>
        <v>0</v>
      </c>
      <c r="N189" s="75">
        <f>'FY31'!L189</f>
        <v>0</v>
      </c>
      <c r="P189" s="75">
        <f>'FY26'!R189</f>
        <v>0</v>
      </c>
      <c r="Q189" s="75">
        <f>'FY27'!R189</f>
        <v>0</v>
      </c>
      <c r="R189" s="75">
        <f>'FY28'!R189</f>
        <v>0</v>
      </c>
      <c r="S189" s="75">
        <f>'FY29'!R189</f>
        <v>0</v>
      </c>
      <c r="T189" s="75">
        <f>'FY30'!R189</f>
        <v>0</v>
      </c>
      <c r="U189" s="75">
        <f>'FY31'!R189</f>
        <v>0</v>
      </c>
      <c r="W189" s="75">
        <f>'FY26'!X189</f>
        <v>0</v>
      </c>
      <c r="X189" s="75">
        <f>'FY27'!X189</f>
        <v>0</v>
      </c>
      <c r="Y189" s="75">
        <f>'FY28'!X189</f>
        <v>0</v>
      </c>
      <c r="Z189" s="75">
        <f>'FY29'!X189</f>
        <v>0</v>
      </c>
      <c r="AA189" s="75">
        <f>'FY30'!X189</f>
        <v>0</v>
      </c>
      <c r="AB189" s="75">
        <f>'FY31'!X189</f>
        <v>0</v>
      </c>
      <c r="AC189" s="194"/>
      <c r="AD189" s="75">
        <f>'FY27'!AD189</f>
        <v>0</v>
      </c>
      <c r="AE189" s="75">
        <f>'FY28'!AD189</f>
        <v>0</v>
      </c>
      <c r="AF189" s="75">
        <f>'FY29'!AD189</f>
        <v>0</v>
      </c>
      <c r="AG189" s="75">
        <f>'FY30'!AD189</f>
        <v>0</v>
      </c>
      <c r="AH189" s="75">
        <f>'FY31'!AD189</f>
        <v>0</v>
      </c>
      <c r="AI189" s="194"/>
      <c r="AJ189" s="75">
        <f>'FY27'!AJ189</f>
        <v>0</v>
      </c>
      <c r="AK189" s="75">
        <f>'FY28'!AJ189</f>
        <v>0</v>
      </c>
      <c r="AL189" s="75">
        <f>'FY29'!AJ189</f>
        <v>0</v>
      </c>
      <c r="AM189" s="75">
        <f>'FY30'!AJ189</f>
        <v>0</v>
      </c>
      <c r="AN189" s="75">
        <f>'FY31'!AJ189</f>
        <v>0</v>
      </c>
      <c r="AP189" s="75">
        <f>'FY26'!AD189</f>
        <v>0</v>
      </c>
      <c r="AQ189" s="75">
        <f>'FY27'!AP189</f>
        <v>0</v>
      </c>
      <c r="AR189" s="75">
        <f>'FY28'!AP189</f>
        <v>0</v>
      </c>
      <c r="AS189" s="75">
        <f>'FY29'!AP189</f>
        <v>0</v>
      </c>
      <c r="AT189" s="75">
        <f>'FY30'!AP189</f>
        <v>0</v>
      </c>
      <c r="AU189" s="75">
        <f>'FY31'!AP189</f>
        <v>0</v>
      </c>
      <c r="AW189" s="75">
        <f>'FY26'!AJ189</f>
        <v>0</v>
      </c>
      <c r="AX189" s="75">
        <f>'FY27'!AV189</f>
        <v>0</v>
      </c>
      <c r="AY189" s="75">
        <f>'FY28'!AV189</f>
        <v>0</v>
      </c>
      <c r="AZ189" s="75">
        <f>'FY29'!AV189</f>
        <v>0</v>
      </c>
      <c r="BA189" s="75">
        <f>'FY30'!AV189</f>
        <v>0</v>
      </c>
      <c r="BB189" s="75">
        <f>'FY31'!AV189</f>
        <v>0</v>
      </c>
      <c r="BD189" s="166"/>
      <c r="BE189" s="166"/>
    </row>
    <row r="190" spans="1:57" x14ac:dyDescent="0.25">
      <c r="A190" s="32" t="s">
        <v>139</v>
      </c>
      <c r="B190" s="75">
        <f>'FY26'!F190</f>
        <v>0</v>
      </c>
      <c r="C190" s="75">
        <f>'FY27'!F190</f>
        <v>0</v>
      </c>
      <c r="D190" s="75">
        <f>'FY28'!F190</f>
        <v>0</v>
      </c>
      <c r="E190" s="75">
        <f>'FY29'!F190</f>
        <v>0</v>
      </c>
      <c r="F190" s="75">
        <f>'FY30'!F190</f>
        <v>0</v>
      </c>
      <c r="G190" s="75">
        <f>'FY31'!F190</f>
        <v>0</v>
      </c>
      <c r="I190" s="75">
        <f>'FY26'!L190</f>
        <v>0</v>
      </c>
      <c r="J190" s="75">
        <f>'FY27'!L190</f>
        <v>0</v>
      </c>
      <c r="K190" s="75">
        <f>'FY28'!L190</f>
        <v>0</v>
      </c>
      <c r="L190" s="75">
        <f>'FY29'!L190</f>
        <v>0</v>
      </c>
      <c r="M190" s="75">
        <f>'FY30'!L190</f>
        <v>0</v>
      </c>
      <c r="N190" s="75">
        <f>'FY31'!L190</f>
        <v>0</v>
      </c>
      <c r="P190" s="75">
        <f>'FY26'!R190</f>
        <v>0</v>
      </c>
      <c r="Q190" s="75">
        <f>'FY27'!R190</f>
        <v>0</v>
      </c>
      <c r="R190" s="75">
        <f>'FY28'!R190</f>
        <v>0</v>
      </c>
      <c r="S190" s="75">
        <f>'FY29'!R190</f>
        <v>0</v>
      </c>
      <c r="T190" s="75">
        <f>'FY30'!R190</f>
        <v>0</v>
      </c>
      <c r="U190" s="75">
        <f>'FY31'!R190</f>
        <v>0</v>
      </c>
      <c r="W190" s="75">
        <f>'FY26'!X190</f>
        <v>0</v>
      </c>
      <c r="X190" s="75">
        <f>'FY27'!X190</f>
        <v>0</v>
      </c>
      <c r="Y190" s="75">
        <f>'FY28'!X190</f>
        <v>0</v>
      </c>
      <c r="Z190" s="75">
        <f>'FY29'!X190</f>
        <v>0</v>
      </c>
      <c r="AA190" s="75">
        <f>'FY30'!X190</f>
        <v>0</v>
      </c>
      <c r="AB190" s="75">
        <f>'FY31'!X190</f>
        <v>0</v>
      </c>
      <c r="AC190" s="194"/>
      <c r="AD190" s="75">
        <f>'FY27'!AD190</f>
        <v>0</v>
      </c>
      <c r="AE190" s="75">
        <f>'FY28'!AD190</f>
        <v>0</v>
      </c>
      <c r="AF190" s="75">
        <f>'FY29'!AD190</f>
        <v>0</v>
      </c>
      <c r="AG190" s="75">
        <f>'FY30'!AD190</f>
        <v>0</v>
      </c>
      <c r="AH190" s="75">
        <f>'FY31'!AD190</f>
        <v>0</v>
      </c>
      <c r="AI190" s="194"/>
      <c r="AJ190" s="75">
        <f>'FY27'!AJ190</f>
        <v>0</v>
      </c>
      <c r="AK190" s="75">
        <f>'FY28'!AJ190</f>
        <v>0</v>
      </c>
      <c r="AL190" s="75">
        <f>'FY29'!AJ190</f>
        <v>0</v>
      </c>
      <c r="AM190" s="75">
        <f>'FY30'!AJ190</f>
        <v>0</v>
      </c>
      <c r="AN190" s="75">
        <f>'FY31'!AJ190</f>
        <v>0</v>
      </c>
      <c r="AP190" s="75">
        <f>'FY26'!AD190</f>
        <v>0</v>
      </c>
      <c r="AQ190" s="75">
        <f>'FY27'!AP190</f>
        <v>0</v>
      </c>
      <c r="AR190" s="75">
        <f>'FY28'!AP190</f>
        <v>0</v>
      </c>
      <c r="AS190" s="75">
        <f>'FY29'!AP190</f>
        <v>0</v>
      </c>
      <c r="AT190" s="75">
        <f>'FY30'!AP190</f>
        <v>0</v>
      </c>
      <c r="AU190" s="75">
        <f>'FY31'!AP190</f>
        <v>0</v>
      </c>
      <c r="AW190" s="75">
        <f>'FY26'!AJ190</f>
        <v>0</v>
      </c>
      <c r="AX190" s="75">
        <f>'FY27'!AV190</f>
        <v>0</v>
      </c>
      <c r="AY190" s="75">
        <f>'FY28'!AV190</f>
        <v>0</v>
      </c>
      <c r="AZ190" s="75">
        <f>'FY29'!AV190</f>
        <v>0</v>
      </c>
      <c r="BA190" s="75">
        <f>'FY30'!AV190</f>
        <v>0</v>
      </c>
      <c r="BB190" s="75">
        <f>'FY31'!AV190</f>
        <v>0</v>
      </c>
      <c r="BD190" s="166"/>
      <c r="BE190" s="166"/>
    </row>
    <row r="191" spans="1:57" x14ac:dyDescent="0.25">
      <c r="A191" s="32" t="s">
        <v>140</v>
      </c>
      <c r="B191" s="75">
        <f>'FY26'!F191</f>
        <v>0</v>
      </c>
      <c r="C191" s="75">
        <f>'FY27'!F191</f>
        <v>0</v>
      </c>
      <c r="D191" s="75">
        <f>'FY28'!F191</f>
        <v>0</v>
      </c>
      <c r="E191" s="75">
        <f>'FY29'!F191</f>
        <v>0</v>
      </c>
      <c r="F191" s="75">
        <f>'FY30'!F191</f>
        <v>0</v>
      </c>
      <c r="G191" s="75">
        <f>'FY31'!F191</f>
        <v>0</v>
      </c>
      <c r="I191" s="75">
        <f>'FY26'!L191</f>
        <v>0</v>
      </c>
      <c r="J191" s="75">
        <f>'FY27'!L191</f>
        <v>0</v>
      </c>
      <c r="K191" s="75">
        <f>'FY28'!L191</f>
        <v>0</v>
      </c>
      <c r="L191" s="75">
        <f>'FY29'!L191</f>
        <v>0</v>
      </c>
      <c r="M191" s="75">
        <f>'FY30'!L191</f>
        <v>0</v>
      </c>
      <c r="N191" s="75">
        <f>'FY31'!L191</f>
        <v>0</v>
      </c>
      <c r="P191" s="75">
        <f>'FY26'!R191</f>
        <v>0</v>
      </c>
      <c r="Q191" s="75">
        <f>'FY27'!R191</f>
        <v>0</v>
      </c>
      <c r="R191" s="75">
        <f>'FY28'!R191</f>
        <v>0</v>
      </c>
      <c r="S191" s="75">
        <f>'FY29'!R191</f>
        <v>0</v>
      </c>
      <c r="T191" s="75">
        <f>'FY30'!R191</f>
        <v>0</v>
      </c>
      <c r="U191" s="75">
        <f>'FY31'!R191</f>
        <v>0</v>
      </c>
      <c r="W191" s="75">
        <f>'FY26'!X191</f>
        <v>0</v>
      </c>
      <c r="X191" s="75">
        <f>'FY27'!X191</f>
        <v>0</v>
      </c>
      <c r="Y191" s="75">
        <f>'FY28'!X191</f>
        <v>0</v>
      </c>
      <c r="Z191" s="75">
        <f>'FY29'!X191</f>
        <v>0</v>
      </c>
      <c r="AA191" s="75">
        <f>'FY30'!X191</f>
        <v>0</v>
      </c>
      <c r="AB191" s="75">
        <f>'FY31'!X191</f>
        <v>0</v>
      </c>
      <c r="AC191" s="194"/>
      <c r="AD191" s="75">
        <f>'FY27'!AD191</f>
        <v>0</v>
      </c>
      <c r="AE191" s="75">
        <f>'FY28'!AD191</f>
        <v>0</v>
      </c>
      <c r="AF191" s="75">
        <f>'FY29'!AD191</f>
        <v>0</v>
      </c>
      <c r="AG191" s="75">
        <f>'FY30'!AD191</f>
        <v>0</v>
      </c>
      <c r="AH191" s="75">
        <f>'FY31'!AD191</f>
        <v>0</v>
      </c>
      <c r="AI191" s="194"/>
      <c r="AJ191" s="75">
        <f>'FY27'!AJ191</f>
        <v>0</v>
      </c>
      <c r="AK191" s="75">
        <f>'FY28'!AJ191</f>
        <v>0</v>
      </c>
      <c r="AL191" s="75">
        <f>'FY29'!AJ191</f>
        <v>0</v>
      </c>
      <c r="AM191" s="75">
        <f>'FY30'!AJ191</f>
        <v>0</v>
      </c>
      <c r="AN191" s="75">
        <f>'FY31'!AJ191</f>
        <v>0</v>
      </c>
      <c r="AP191" s="75">
        <f>'FY26'!AD191</f>
        <v>0</v>
      </c>
      <c r="AQ191" s="75">
        <f>'FY27'!AP191</f>
        <v>0</v>
      </c>
      <c r="AR191" s="75">
        <f>'FY28'!AP191</f>
        <v>0</v>
      </c>
      <c r="AS191" s="75">
        <f>'FY29'!AP191</f>
        <v>0</v>
      </c>
      <c r="AT191" s="75">
        <f>'FY30'!AP191</f>
        <v>0</v>
      </c>
      <c r="AU191" s="75">
        <f>'FY31'!AP191</f>
        <v>0</v>
      </c>
      <c r="AW191" s="75">
        <f>'FY26'!AJ191</f>
        <v>0</v>
      </c>
      <c r="AX191" s="75">
        <f>'FY27'!AV191</f>
        <v>0</v>
      </c>
      <c r="AY191" s="75">
        <f>'FY28'!AV191</f>
        <v>0</v>
      </c>
      <c r="AZ191" s="75">
        <f>'FY29'!AV191</f>
        <v>0</v>
      </c>
      <c r="BA191" s="75">
        <f>'FY30'!AV191</f>
        <v>0</v>
      </c>
      <c r="BB191" s="75">
        <f>'FY31'!AV191</f>
        <v>0</v>
      </c>
      <c r="BD191" s="166"/>
      <c r="BE191" s="166"/>
    </row>
    <row r="192" spans="1:57" x14ac:dyDescent="0.25">
      <c r="A192" s="32" t="s">
        <v>141</v>
      </c>
      <c r="B192" s="75">
        <f>'FY26'!F192</f>
        <v>7500</v>
      </c>
      <c r="C192" s="75">
        <f>'FY27'!F192</f>
        <v>7500</v>
      </c>
      <c r="D192" s="75">
        <f>'FY28'!F192</f>
        <v>5500</v>
      </c>
      <c r="E192" s="75">
        <f>'FY29'!F192</f>
        <v>5000</v>
      </c>
      <c r="F192" s="75">
        <f>'FY30'!F192</f>
        <v>5000</v>
      </c>
      <c r="G192" s="75">
        <f>'FY31'!F192</f>
        <v>5000</v>
      </c>
      <c r="I192" s="75">
        <f>'FY26'!L192</f>
        <v>750</v>
      </c>
      <c r="J192" s="75">
        <f>'FY27'!L192</f>
        <v>7500</v>
      </c>
      <c r="K192" s="75">
        <f>'FY28'!L192</f>
        <v>5500</v>
      </c>
      <c r="L192" s="75">
        <f>'FY29'!L192</f>
        <v>5000</v>
      </c>
      <c r="M192" s="75">
        <f>'FY30'!L192</f>
        <v>5000</v>
      </c>
      <c r="N192" s="75">
        <f>'FY31'!L192</f>
        <v>5000</v>
      </c>
      <c r="P192" s="75">
        <f>'FY26'!R192</f>
        <v>880072</v>
      </c>
      <c r="Q192" s="75">
        <f>'FY27'!R192</f>
        <v>12500</v>
      </c>
      <c r="R192" s="75">
        <f>'FY28'!R192</f>
        <v>10500</v>
      </c>
      <c r="S192" s="75">
        <f>'FY29'!R192</f>
        <v>10000</v>
      </c>
      <c r="T192" s="75">
        <f>'FY30'!R192</f>
        <v>10000</v>
      </c>
      <c r="U192" s="75">
        <f>'FY31'!R192</f>
        <v>10000</v>
      </c>
      <c r="W192" s="75">
        <f>'FY26'!X192</f>
        <v>5500</v>
      </c>
      <c r="X192" s="75">
        <f>'FY27'!X192</f>
        <v>2000</v>
      </c>
      <c r="Y192" s="75">
        <f>'FY28'!X192</f>
        <v>2000</v>
      </c>
      <c r="Z192" s="75">
        <f>'FY29'!X192</f>
        <v>2000</v>
      </c>
      <c r="AA192" s="75">
        <f>'FY30'!X192</f>
        <v>2000</v>
      </c>
      <c r="AB192" s="75">
        <f>'FY31'!X192</f>
        <v>2000</v>
      </c>
      <c r="AC192" s="194"/>
      <c r="AD192" s="75">
        <f>'FY27'!AD192</f>
        <v>2000</v>
      </c>
      <c r="AE192" s="75">
        <f>'FY28'!AD192</f>
        <v>2000</v>
      </c>
      <c r="AF192" s="75">
        <f>'FY29'!AD192</f>
        <v>2000</v>
      </c>
      <c r="AG192" s="75">
        <f>'FY30'!AD192</f>
        <v>2000</v>
      </c>
      <c r="AH192" s="75">
        <f>'FY31'!AD192</f>
        <v>2000</v>
      </c>
      <c r="AI192" s="194"/>
      <c r="AJ192" s="75">
        <f>'FY27'!AJ192</f>
        <v>0</v>
      </c>
      <c r="AK192" s="75">
        <f>'FY28'!AJ192</f>
        <v>2000</v>
      </c>
      <c r="AL192" s="75">
        <f>'FY29'!AJ192</f>
        <v>2000</v>
      </c>
      <c r="AM192" s="75">
        <f>'FY30'!AJ192</f>
        <v>2000</v>
      </c>
      <c r="AN192" s="75">
        <f>'FY31'!AJ192</f>
        <v>2000</v>
      </c>
      <c r="AP192" s="75">
        <f>'FY26'!AD192</f>
        <v>12500</v>
      </c>
      <c r="AQ192" s="75">
        <f>'FY27'!AP192</f>
        <v>10000</v>
      </c>
      <c r="AR192" s="75">
        <f>'FY28'!AP192</f>
        <v>10000</v>
      </c>
      <c r="AS192" s="75">
        <f>'FY29'!AP192</f>
        <v>10000</v>
      </c>
      <c r="AT192" s="75">
        <f>'FY30'!AP192</f>
        <v>10000</v>
      </c>
      <c r="AU192" s="75">
        <f>'FY31'!AP192</f>
        <v>10000</v>
      </c>
      <c r="AW192" s="75">
        <f>'FY26'!AJ192</f>
        <v>906322</v>
      </c>
      <c r="AX192" s="75">
        <f>'FY27'!AV192</f>
        <v>41500</v>
      </c>
      <c r="AY192" s="75">
        <f>'FY28'!AV192</f>
        <v>37500</v>
      </c>
      <c r="AZ192" s="75">
        <f>'FY29'!AV192</f>
        <v>36000</v>
      </c>
      <c r="BA192" s="75">
        <f>'FY30'!AV192</f>
        <v>36000</v>
      </c>
      <c r="BB192" s="75">
        <f>'FY31'!AV192</f>
        <v>36000</v>
      </c>
      <c r="BD192" s="166"/>
      <c r="BE192" s="166"/>
    </row>
    <row r="193" spans="1:60" x14ac:dyDescent="0.25">
      <c r="A193" s="33" t="s">
        <v>142</v>
      </c>
      <c r="B193" s="75">
        <f>'FY26'!F193</f>
        <v>193592.95999999999</v>
      </c>
      <c r="C193" s="75">
        <f>'FY27'!F193</f>
        <v>121895.1</v>
      </c>
      <c r="D193" s="75">
        <f>'FY28'!F193</f>
        <v>174143.2</v>
      </c>
      <c r="E193" s="75">
        <f>'FY29'!F193</f>
        <v>126251.25</v>
      </c>
      <c r="F193" s="75">
        <f>'FY30'!F193</f>
        <v>128178.75</v>
      </c>
      <c r="G193" s="75">
        <f>'FY31'!F193</f>
        <v>104085</v>
      </c>
      <c r="I193" s="75">
        <f>'FY26'!L193</f>
        <v>193592.95999999999</v>
      </c>
      <c r="J193" s="75">
        <f>'FY27'!L193</f>
        <v>121895.1</v>
      </c>
      <c r="K193" s="75">
        <f>'FY28'!L193</f>
        <v>174143.2</v>
      </c>
      <c r="L193" s="75">
        <f>'FY29'!L193</f>
        <v>126251.25</v>
      </c>
      <c r="M193" s="75">
        <f>'FY30'!L193</f>
        <v>128178.75</v>
      </c>
      <c r="N193" s="75">
        <f>'FY31'!L193</f>
        <v>130106.25</v>
      </c>
      <c r="P193" s="75">
        <f>'FY26'!R193</f>
        <v>460065.76</v>
      </c>
      <c r="Q193" s="75">
        <f>'FY27'!R193</f>
        <v>291575.92499999999</v>
      </c>
      <c r="R193" s="75">
        <f>'FY28'!R193</f>
        <v>419773.2</v>
      </c>
      <c r="S193" s="75">
        <f>'FY29'!R193</f>
        <v>308382.1875</v>
      </c>
      <c r="T193" s="75">
        <f>'FY30'!R193</f>
        <v>314212.5</v>
      </c>
      <c r="U193" s="75">
        <f>'FY31'!R193</f>
        <v>381358.125</v>
      </c>
      <c r="W193" s="75">
        <f>'FY26'!X193</f>
        <v>0</v>
      </c>
      <c r="X193" s="75">
        <f>'FY27'!X193</f>
        <v>0</v>
      </c>
      <c r="Y193" s="75">
        <f>'FY28'!X193</f>
        <v>77682</v>
      </c>
      <c r="Z193" s="75">
        <f>'FY29'!X193</f>
        <v>65950.3125</v>
      </c>
      <c r="AA193" s="75">
        <f>'FY30'!X193</f>
        <v>134413.125</v>
      </c>
      <c r="AB193" s="75">
        <f>'FY31'!X193</f>
        <v>0</v>
      </c>
      <c r="AC193" s="194"/>
      <c r="AD193" s="75">
        <f>'FY27'!AD193</f>
        <v>0</v>
      </c>
      <c r="AE193" s="75">
        <f>'FY28'!AD193</f>
        <v>0</v>
      </c>
      <c r="AF193" s="75">
        <f>'FY29'!AD193</f>
        <v>0</v>
      </c>
      <c r="AG193" s="75">
        <f>'FY30'!AD193</f>
        <v>0</v>
      </c>
      <c r="AH193" s="75">
        <f>'FY31'!AD193</f>
        <v>103350.9375</v>
      </c>
      <c r="AI193" s="194"/>
      <c r="AJ193" s="75">
        <f>'FY27'!AJ193</f>
        <v>0</v>
      </c>
      <c r="AK193" s="75">
        <f>'FY28'!AJ193</f>
        <v>0</v>
      </c>
      <c r="AL193" s="75">
        <f>'FY29'!AJ193</f>
        <v>0</v>
      </c>
      <c r="AM193" s="75">
        <f>'FY30'!AJ193</f>
        <v>260098.125</v>
      </c>
      <c r="AN193" s="75">
        <f>'FY31'!AJ193</f>
        <v>0</v>
      </c>
      <c r="AP193" s="75">
        <f>'FY26'!AD193</f>
        <v>0</v>
      </c>
      <c r="AQ193" s="75">
        <f>'FY27'!AP193</f>
        <v>0</v>
      </c>
      <c r="AR193" s="75">
        <f>'FY28'!AP193</f>
        <v>0</v>
      </c>
      <c r="AS193" s="75">
        <f>'FY29'!AP193</f>
        <v>0</v>
      </c>
      <c r="AT193" s="75">
        <f>'FY30'!AP193</f>
        <v>0</v>
      </c>
      <c r="AU193" s="75">
        <f>'FY31'!AP193</f>
        <v>0</v>
      </c>
      <c r="AW193" s="75">
        <f>'FY26'!AJ193</f>
        <v>847251.67999999993</v>
      </c>
      <c r="AX193" s="75">
        <f>'FY27'!AV193</f>
        <v>535366.125</v>
      </c>
      <c r="AY193" s="75">
        <f>'FY28'!AV193</f>
        <v>845741.60000000009</v>
      </c>
      <c r="AZ193" s="75">
        <f>'FY29'!AV193</f>
        <v>626835</v>
      </c>
      <c r="BA193" s="75">
        <f>'FY30'!AV193</f>
        <v>965081.25</v>
      </c>
      <c r="BB193" s="75">
        <f>'FY31'!AV193</f>
        <v>718900.3125</v>
      </c>
      <c r="BD193" s="98">
        <f>AW193/AW68</f>
        <v>1.8093706012467323E-2</v>
      </c>
      <c r="BE193" s="98">
        <f t="shared" ref="BE193:BH193" si="0">AX193/AX68</f>
        <v>1.030445499360964E-2</v>
      </c>
      <c r="BF193" s="98">
        <f t="shared" si="0"/>
        <v>1.3518489865387593E-2</v>
      </c>
      <c r="BG193" s="98">
        <f t="shared" si="0"/>
        <v>9.2249855407750148E-3</v>
      </c>
      <c r="BH193" s="98">
        <f t="shared" si="0"/>
        <v>1.3249794576828266E-2</v>
      </c>
    </row>
    <row r="194" spans="1:60" x14ac:dyDescent="0.25">
      <c r="A194" s="34"/>
      <c r="B194" s="76">
        <f>'FY26'!F194</f>
        <v>1458343.76</v>
      </c>
      <c r="C194" s="76">
        <f>'FY27'!F194</f>
        <v>1423083.736</v>
      </c>
      <c r="D194" s="76">
        <f>'FY28'!F194</f>
        <v>1511389.00872</v>
      </c>
      <c r="E194" s="76">
        <f>'FY29'!F194</f>
        <v>1502972.3896944001</v>
      </c>
      <c r="F194" s="76">
        <f>'FY30'!F194</f>
        <v>1546984.8492362881</v>
      </c>
      <c r="G194" s="76">
        <f>'FY31'!F194</f>
        <v>1567296.2989364939</v>
      </c>
      <c r="I194" s="76">
        <f>'FY26'!L194</f>
        <v>1274564.76</v>
      </c>
      <c r="J194" s="76">
        <f>'FY27'!L194</f>
        <v>1243338.318</v>
      </c>
      <c r="K194" s="76">
        <f>'FY28'!L194</f>
        <v>1329198.18236</v>
      </c>
      <c r="L194" s="76">
        <f>'FY29'!L194</f>
        <v>1318289.9320072001</v>
      </c>
      <c r="M194" s="76">
        <f>'FY30'!L194</f>
        <v>1359782.2243433441</v>
      </c>
      <c r="N194" s="76">
        <f>'FY31'!L194</f>
        <v>1404044.7405131711</v>
      </c>
      <c r="P194" s="76">
        <f>'FY26'!R194</f>
        <v>3382852.3099999996</v>
      </c>
      <c r="Q194" s="76">
        <f>'FY27'!R194</f>
        <v>2627226.9579999996</v>
      </c>
      <c r="R194" s="76">
        <f>'FY28'!R194</f>
        <v>2829654.0617200006</v>
      </c>
      <c r="S194" s="76">
        <f>'FY29'!R194</f>
        <v>2798292.9525228003</v>
      </c>
      <c r="T194" s="76">
        <f>'FY30'!R194</f>
        <v>2749359.0861059204</v>
      </c>
      <c r="U194" s="76">
        <f>'FY31'!R194</f>
        <v>2843323.9848249215</v>
      </c>
      <c r="W194" s="76">
        <f>'FY26'!X194</f>
        <v>526490.9</v>
      </c>
      <c r="X194" s="76">
        <f>'FY27'!X194</f>
        <v>502546.78149999998</v>
      </c>
      <c r="Y194" s="76">
        <f>'FY28'!X194</f>
        <v>591901.73227499996</v>
      </c>
      <c r="Z194" s="76">
        <f>'FY29'!X194</f>
        <v>597895.51301314996</v>
      </c>
      <c r="AA194" s="76">
        <f>'FY30'!X194</f>
        <v>720393.24423564144</v>
      </c>
      <c r="AB194" s="76">
        <f>'FY31'!X194</f>
        <v>598477.10887372366</v>
      </c>
      <c r="AC194" s="199"/>
      <c r="AD194" s="76">
        <f>'FY27'!AD194</f>
        <v>679063.00949999993</v>
      </c>
      <c r="AE194" s="76">
        <f>'FY28'!AD194</f>
        <v>756516.71454000007</v>
      </c>
      <c r="AF194" s="76">
        <f>'FY29'!AD194</f>
        <v>1150297.9287626001</v>
      </c>
      <c r="AG194" s="76">
        <f>'FY30'!AD194</f>
        <v>1623490.1664823359</v>
      </c>
      <c r="AH194" s="76">
        <f>'FY31'!AD194</f>
        <v>1818431.6166887418</v>
      </c>
      <c r="AI194" s="199"/>
      <c r="AJ194" s="76">
        <f>'FY27'!AJ194</f>
        <v>0</v>
      </c>
      <c r="AK194" s="76">
        <f>'FY28'!AJ194</f>
        <v>1096659.49</v>
      </c>
      <c r="AL194" s="76">
        <f>'FY29'!AJ194</f>
        <v>1202276.7096899999</v>
      </c>
      <c r="AM194" s="76">
        <f>'FY30'!AJ194</f>
        <v>1560136.9807446001</v>
      </c>
      <c r="AN194" s="76">
        <f>'FY31'!AJ194</f>
        <v>1074908.2531612881</v>
      </c>
      <c r="AP194" s="76">
        <f>'FY26'!AD194</f>
        <v>12500</v>
      </c>
      <c r="AQ194" s="76">
        <f>'FY27'!AP194</f>
        <v>10000</v>
      </c>
      <c r="AR194" s="76">
        <f>'FY28'!AP194</f>
        <v>10000</v>
      </c>
      <c r="AS194" s="76">
        <f>'FY29'!AP194</f>
        <v>10000</v>
      </c>
      <c r="AT194" s="76">
        <f>'FY30'!AP194</f>
        <v>10000</v>
      </c>
      <c r="AU194" s="76">
        <f>'FY31'!AP194</f>
        <v>10000</v>
      </c>
      <c r="AW194" s="76">
        <f>'FY26'!AJ194</f>
        <v>6654751.7299999995</v>
      </c>
      <c r="AX194" s="76">
        <f>'FY27'!AV194</f>
        <v>6485258.8030000003</v>
      </c>
      <c r="AY194" s="76">
        <f>'FY28'!AV194</f>
        <v>8125319.189615</v>
      </c>
      <c r="AZ194" s="76">
        <f>'FY29'!AV194</f>
        <v>8580025.4256901499</v>
      </c>
      <c r="BA194" s="76">
        <f>'FY30'!AV194</f>
        <v>9570146.5511481296</v>
      </c>
      <c r="BB194" s="76">
        <f>'FY31'!AV194</f>
        <v>9316482.0029983409</v>
      </c>
      <c r="BD194" s="166"/>
      <c r="BE194" s="166"/>
    </row>
    <row r="195" spans="1:60" x14ac:dyDescent="0.25">
      <c r="B195" s="77">
        <f>'FY26'!F195</f>
        <v>0</v>
      </c>
      <c r="C195" s="77">
        <f>'FY27'!F195</f>
        <v>0</v>
      </c>
      <c r="D195" s="77">
        <f>'FY28'!F195</f>
        <v>0</v>
      </c>
      <c r="E195" s="77">
        <f>'FY29'!F195</f>
        <v>0</v>
      </c>
      <c r="F195" s="77">
        <f>'FY30'!F195</f>
        <v>0</v>
      </c>
      <c r="G195" s="77">
        <f>'FY31'!F195</f>
        <v>0</v>
      </c>
      <c r="I195" s="77">
        <f>'FY26'!L195</f>
        <v>0</v>
      </c>
      <c r="J195" s="77">
        <f>'FY27'!L195</f>
        <v>0</v>
      </c>
      <c r="K195" s="77">
        <f>'FY28'!L195</f>
        <v>0</v>
      </c>
      <c r="L195" s="77">
        <f>'FY29'!L195</f>
        <v>0</v>
      </c>
      <c r="M195" s="77">
        <f>'FY30'!L195</f>
        <v>0</v>
      </c>
      <c r="N195" s="77">
        <f>'FY31'!L195</f>
        <v>0</v>
      </c>
      <c r="P195" s="77">
        <f>'FY26'!R195</f>
        <v>0</v>
      </c>
      <c r="Q195" s="77">
        <f>'FY27'!R195</f>
        <v>0</v>
      </c>
      <c r="R195" s="77">
        <f>'FY28'!R195</f>
        <v>0</v>
      </c>
      <c r="S195" s="77">
        <f>'FY29'!R195</f>
        <v>0</v>
      </c>
      <c r="T195" s="77">
        <f>'FY30'!R195</f>
        <v>0</v>
      </c>
      <c r="U195" s="77">
        <f>'FY31'!R195</f>
        <v>0</v>
      </c>
      <c r="W195" s="77">
        <f>'FY26'!X195</f>
        <v>0</v>
      </c>
      <c r="X195" s="77">
        <f>'FY27'!X195</f>
        <v>0</v>
      </c>
      <c r="Y195" s="77">
        <f>'FY28'!X195</f>
        <v>0</v>
      </c>
      <c r="Z195" s="77">
        <f>'FY29'!X195</f>
        <v>0</v>
      </c>
      <c r="AA195" s="77">
        <f>'FY30'!X195</f>
        <v>0</v>
      </c>
      <c r="AB195" s="77">
        <f>'FY31'!X195</f>
        <v>0</v>
      </c>
      <c r="AC195" s="79"/>
      <c r="AD195" s="77">
        <f>'FY27'!AD195</f>
        <v>0</v>
      </c>
      <c r="AE195" s="77">
        <f>'FY28'!AD195</f>
        <v>0</v>
      </c>
      <c r="AF195" s="77">
        <f>'FY29'!AD195</f>
        <v>0</v>
      </c>
      <c r="AG195" s="77">
        <f>'FY30'!AD195</f>
        <v>0</v>
      </c>
      <c r="AH195" s="77">
        <f>'FY31'!AD195</f>
        <v>0</v>
      </c>
      <c r="AI195" s="79"/>
      <c r="AJ195" s="77">
        <f>'FY27'!AJ195</f>
        <v>0</v>
      </c>
      <c r="AK195" s="77">
        <f>'FY28'!AJ195</f>
        <v>0</v>
      </c>
      <c r="AL195" s="77">
        <f>'FY29'!AJ195</f>
        <v>0</v>
      </c>
      <c r="AM195" s="77">
        <f>'FY30'!AJ195</f>
        <v>0</v>
      </c>
      <c r="AN195" s="77">
        <f>'FY31'!AJ195</f>
        <v>0</v>
      </c>
      <c r="AP195" s="77">
        <f>'FY26'!AD195</f>
        <v>0</v>
      </c>
      <c r="AQ195" s="77">
        <f>'FY27'!AP195</f>
        <v>0</v>
      </c>
      <c r="AR195" s="77">
        <f>'FY28'!AP195</f>
        <v>0</v>
      </c>
      <c r="AS195" s="77">
        <f>'FY29'!AP195</f>
        <v>0</v>
      </c>
      <c r="AT195" s="77">
        <f>'FY30'!AP195</f>
        <v>0</v>
      </c>
      <c r="AU195" s="77">
        <f>'FY31'!AP195</f>
        <v>0</v>
      </c>
      <c r="AW195" s="77">
        <f>'FY26'!AJ195</f>
        <v>0</v>
      </c>
      <c r="AX195" s="77">
        <f>'FY27'!AV195</f>
        <v>0</v>
      </c>
      <c r="AY195" s="77">
        <f>'FY28'!AV195</f>
        <v>0</v>
      </c>
      <c r="AZ195" s="77">
        <f>'FY29'!AV195</f>
        <v>0</v>
      </c>
      <c r="BA195" s="77">
        <f>'FY30'!AV195</f>
        <v>0</v>
      </c>
      <c r="BB195" s="77">
        <f>'FY31'!AV195</f>
        <v>0</v>
      </c>
      <c r="BD195" s="166"/>
      <c r="BE195" s="166"/>
    </row>
    <row r="196" spans="1:60" x14ac:dyDescent="0.25">
      <c r="A196" s="28"/>
      <c r="B196" s="78" t="str">
        <f>'FY26'!F196</f>
        <v>FY26- Mtn</v>
      </c>
      <c r="C196" s="78" t="str">
        <f>'FY27'!F196</f>
        <v>FY27- Mtn</v>
      </c>
      <c r="D196" s="78" t="str">
        <f>'FY28'!F196</f>
        <v>FY28- Mtn</v>
      </c>
      <c r="E196" s="78" t="str">
        <f>'FY29'!F196</f>
        <v>FY29- Mtn</v>
      </c>
      <c r="F196" s="78" t="str">
        <f>'FY30'!F196</f>
        <v>FY30- Mtn</v>
      </c>
      <c r="G196" s="78" t="str">
        <f>'FY31'!F196</f>
        <v>FY31- Mtn</v>
      </c>
      <c r="I196" s="78" t="str">
        <f>'FY26'!L196</f>
        <v>FY26- Bon</v>
      </c>
      <c r="J196" s="78" t="str">
        <f>'FY27'!L196</f>
        <v>FY27- Bon</v>
      </c>
      <c r="K196" s="78" t="str">
        <f>'FY28'!L196</f>
        <v>FY28- Bon</v>
      </c>
      <c r="L196" s="78" t="str">
        <f>'FY29'!L196</f>
        <v>FY29- Bon</v>
      </c>
      <c r="M196" s="78" t="str">
        <f>'FY30'!L196</f>
        <v>FY30- Bon</v>
      </c>
      <c r="N196" s="78" t="str">
        <f>'FY31'!L196</f>
        <v>FY31- Bon</v>
      </c>
      <c r="P196" s="78" t="str">
        <f>'FY26'!R196</f>
        <v>FY26- East</v>
      </c>
      <c r="Q196" s="78" t="str">
        <f>'FY27'!R196</f>
        <v>FY27- East</v>
      </c>
      <c r="R196" s="78" t="str">
        <f>'FY28'!R196</f>
        <v>FY28- East</v>
      </c>
      <c r="S196" s="78" t="str">
        <f>'FY29'!R196</f>
        <v>FY29- East</v>
      </c>
      <c r="T196" s="78" t="str">
        <f>'FY30'!R196</f>
        <v>FY30- East</v>
      </c>
      <c r="U196" s="78" t="str">
        <f>'FY31'!R196</f>
        <v>FY31- East</v>
      </c>
      <c r="W196" s="78" t="str">
        <f>'FY26'!X196</f>
        <v>FY26- Cactus</v>
      </c>
      <c r="X196" s="78" t="str">
        <f>'FY27'!X196</f>
        <v>FY27- Cactus</v>
      </c>
      <c r="Y196" s="78" t="str">
        <f>'FY28'!X196</f>
        <v>FY28- Cactus</v>
      </c>
      <c r="Z196" s="78" t="str">
        <f>'FY29'!X196</f>
        <v>FY29- Cactus</v>
      </c>
      <c r="AA196" s="78" t="str">
        <f>'FY30'!X196</f>
        <v>FY30- Cactus</v>
      </c>
      <c r="AB196" s="78" t="str">
        <f>'FY31'!X196</f>
        <v>FY31- Cactus</v>
      </c>
      <c r="AC196" s="201"/>
      <c r="AD196" s="78" t="str">
        <f>'FY27'!AD196</f>
        <v>FY27- Sahara</v>
      </c>
      <c r="AE196" s="78" t="str">
        <f>'FY28'!AD196</f>
        <v>FY28- Sahara</v>
      </c>
      <c r="AF196" s="78" t="str">
        <f>'FY29'!AD196</f>
        <v>FY29- Sahara</v>
      </c>
      <c r="AG196" s="78" t="str">
        <f>'FY30'!AD196</f>
        <v>FY30- Sahara</v>
      </c>
      <c r="AH196" s="78" t="str">
        <f>'FY31'!AD196</f>
        <v>FY31- Sahara</v>
      </c>
      <c r="AI196" s="201"/>
      <c r="AJ196" s="78" t="str">
        <f>'FY27'!AJ196</f>
        <v>FY27- VV</v>
      </c>
      <c r="AK196" s="78" t="str">
        <f>'FY28'!AJ196</f>
        <v>FY27- VV</v>
      </c>
      <c r="AL196" s="78" t="str">
        <f>'FY29'!AJ196</f>
        <v>FY29- VV</v>
      </c>
      <c r="AM196" s="78" t="str">
        <f>'FY30'!AJ196</f>
        <v>FY30- VV</v>
      </c>
      <c r="AN196" s="78" t="str">
        <f>'FY31'!AJ196</f>
        <v>FY31- VV</v>
      </c>
      <c r="AP196" s="78" t="str">
        <f>'FY26'!AD196</f>
        <v>FY26 - Central</v>
      </c>
      <c r="AQ196" s="78" t="str">
        <f>'FY27'!AP196</f>
        <v>FY27 - Central</v>
      </c>
      <c r="AR196" s="78" t="str">
        <f>'FY28'!AP196</f>
        <v>FY28 - Central</v>
      </c>
      <c r="AS196" s="78" t="str">
        <f>'FY29'!AP196</f>
        <v>FY29 - Central</v>
      </c>
      <c r="AT196" s="78" t="str">
        <f>'FY30'!AP196</f>
        <v>FY30 - Central</v>
      </c>
      <c r="AU196" s="78" t="str">
        <f>'FY31'!AP196</f>
        <v>FY31 - Central</v>
      </c>
      <c r="AW196" s="78" t="str">
        <f>'FY26'!AJ196</f>
        <v>FY26- Sys</v>
      </c>
      <c r="AX196" s="78" t="str">
        <f>'FY27'!AV196</f>
        <v>FY27- Sys</v>
      </c>
      <c r="AY196" s="78" t="str">
        <f>'FY28'!AV196</f>
        <v>FY28- Sys</v>
      </c>
      <c r="AZ196" s="78" t="str">
        <f>'FY29'!AV196</f>
        <v>FY29- Sys</v>
      </c>
      <c r="BA196" s="78" t="str">
        <f>'FY30'!AV196</f>
        <v>FY29- Sys</v>
      </c>
      <c r="BB196" s="78" t="str">
        <f>'FY31'!AV196</f>
        <v>FY31- Sys</v>
      </c>
      <c r="BD196" s="166"/>
      <c r="BE196" s="166"/>
    </row>
    <row r="197" spans="1:60" x14ac:dyDescent="0.25">
      <c r="A197" s="35" t="s">
        <v>143</v>
      </c>
      <c r="B197" s="75">
        <f>'FY26'!F197</f>
        <v>95000</v>
      </c>
      <c r="C197" s="75">
        <f>'FY27'!F197</f>
        <v>96900</v>
      </c>
      <c r="D197" s="75">
        <f>'FY28'!F197</f>
        <v>98838</v>
      </c>
      <c r="E197" s="75">
        <f>'FY29'!F197</f>
        <v>100814.76</v>
      </c>
      <c r="F197" s="75">
        <f>'FY30'!F197</f>
        <v>102831.0552</v>
      </c>
      <c r="G197" s="75">
        <f>'FY31'!F197</f>
        <v>104887.67630400001</v>
      </c>
      <c r="I197" s="75">
        <f>'FY26'!L197</f>
        <v>95000</v>
      </c>
      <c r="J197" s="75">
        <f>'FY27'!L197</f>
        <v>96900</v>
      </c>
      <c r="K197" s="75">
        <f>'FY28'!L197</f>
        <v>98838</v>
      </c>
      <c r="L197" s="75">
        <f>'FY29'!L197</f>
        <v>100814.76</v>
      </c>
      <c r="M197" s="75">
        <f>'FY30'!L197</f>
        <v>102831.0552</v>
      </c>
      <c r="N197" s="75">
        <f>'FY31'!L197</f>
        <v>104887.67630400001</v>
      </c>
      <c r="P197" s="75">
        <f>'FY26'!R197</f>
        <v>285000</v>
      </c>
      <c r="Q197" s="75">
        <f>'FY27'!R197</f>
        <v>290700</v>
      </c>
      <c r="R197" s="75">
        <f>'FY28'!R197</f>
        <v>296514</v>
      </c>
      <c r="S197" s="75">
        <f>'FY29'!R197</f>
        <v>302444.28000000003</v>
      </c>
      <c r="T197" s="75">
        <f>'FY30'!R197</f>
        <v>308493.16560000001</v>
      </c>
      <c r="U197" s="75">
        <f>'FY31'!R197</f>
        <v>314663.02891200001</v>
      </c>
      <c r="W197" s="75">
        <f>'FY26'!X197</f>
        <v>65000</v>
      </c>
      <c r="X197" s="75">
        <f>'FY27'!X197</f>
        <v>66950</v>
      </c>
      <c r="Y197" s="75">
        <f>'FY28'!X197</f>
        <v>68958.5</v>
      </c>
      <c r="Z197" s="75">
        <f>'FY29'!X197</f>
        <v>70337.67</v>
      </c>
      <c r="AA197" s="75">
        <f>'FY30'!X197</f>
        <v>71744.4234</v>
      </c>
      <c r="AB197" s="75">
        <f>'FY31'!X197</f>
        <v>73179.311868000004</v>
      </c>
      <c r="AC197" s="194"/>
      <c r="AD197" s="75">
        <f>'FY27'!AD197</f>
        <v>70000</v>
      </c>
      <c r="AE197" s="75">
        <f>'FY28'!AD197</f>
        <v>75000</v>
      </c>
      <c r="AF197" s="75">
        <f>'FY29'!AD197</f>
        <v>100814.76</v>
      </c>
      <c r="AG197" s="75">
        <f>'FY30'!AD197</f>
        <v>120000</v>
      </c>
      <c r="AH197" s="75">
        <f>'FY31'!AD197</f>
        <v>140000</v>
      </c>
      <c r="AI197" s="194"/>
      <c r="AJ197" s="75">
        <f>'FY27'!AJ197</f>
        <v>0</v>
      </c>
      <c r="AK197" s="75">
        <f>'FY28'!AJ197</f>
        <v>110725</v>
      </c>
      <c r="AL197" s="75">
        <f>'FY29'!AJ197</f>
        <v>112939.5</v>
      </c>
      <c r="AM197" s="75">
        <f>'FY30'!AJ197</f>
        <v>116327.685</v>
      </c>
      <c r="AN197" s="75">
        <f>'FY31'!AJ197</f>
        <v>119817.51555</v>
      </c>
      <c r="AP197" s="75">
        <f>'FY26'!AD197</f>
        <v>0</v>
      </c>
      <c r="AQ197" s="75">
        <f>'FY27'!AP197</f>
        <v>0</v>
      </c>
      <c r="AR197" s="75">
        <f>'FY28'!AP197</f>
        <v>0</v>
      </c>
      <c r="AS197" s="75">
        <f>'FY29'!AP197</f>
        <v>0</v>
      </c>
      <c r="AT197" s="75">
        <f>'FY30'!AP197</f>
        <v>0</v>
      </c>
      <c r="AU197" s="75">
        <f>'FY31'!AP197</f>
        <v>0</v>
      </c>
      <c r="AW197" s="75">
        <f>'FY26'!AJ197</f>
        <v>540000</v>
      </c>
      <c r="AX197" s="75">
        <f>'FY27'!AV197</f>
        <v>621450</v>
      </c>
      <c r="AY197" s="75">
        <f>'FY28'!AV197</f>
        <v>748873.5</v>
      </c>
      <c r="AZ197" s="75">
        <f>'FY29'!AV197</f>
        <v>788165.7300000001</v>
      </c>
      <c r="BA197" s="75">
        <f>'FY30'!AV197</f>
        <v>822227.3844000001</v>
      </c>
      <c r="BB197" s="75">
        <f>'FY31'!AV197</f>
        <v>857435.20893800003</v>
      </c>
      <c r="BD197" s="166"/>
      <c r="BE197" s="166"/>
    </row>
    <row r="198" spans="1:60" x14ac:dyDescent="0.25">
      <c r="A198" s="32" t="s">
        <v>144</v>
      </c>
      <c r="B198" s="75">
        <f>'FY26'!F198</f>
        <v>0</v>
      </c>
      <c r="C198" s="75">
        <f>'FY27'!F198</f>
        <v>0</v>
      </c>
      <c r="D198" s="75">
        <f>'FY28'!F198</f>
        <v>0</v>
      </c>
      <c r="E198" s="75">
        <f>'FY29'!F198</f>
        <v>0</v>
      </c>
      <c r="F198" s="75">
        <f>'FY30'!F198</f>
        <v>0</v>
      </c>
      <c r="G198" s="75">
        <f>'FY31'!F198</f>
        <v>0</v>
      </c>
      <c r="I198" s="75">
        <f>'FY26'!L198</f>
        <v>0</v>
      </c>
      <c r="J198" s="75">
        <f>'FY27'!L198</f>
        <v>0</v>
      </c>
      <c r="K198" s="75">
        <f>'FY28'!L198</f>
        <v>0</v>
      </c>
      <c r="L198" s="75">
        <f>'FY29'!L198</f>
        <v>0</v>
      </c>
      <c r="M198" s="75">
        <f>'FY30'!L198</f>
        <v>0</v>
      </c>
      <c r="N198" s="75">
        <f>'FY31'!L198</f>
        <v>0</v>
      </c>
      <c r="P198" s="75">
        <f>'FY26'!R198</f>
        <v>16000</v>
      </c>
      <c r="Q198" s="75">
        <f>'FY27'!R198</f>
        <v>16320</v>
      </c>
      <c r="R198" s="75">
        <f>'FY28'!R198</f>
        <v>16646.400000000001</v>
      </c>
      <c r="S198" s="75">
        <f>'FY29'!R198</f>
        <v>16979.328000000001</v>
      </c>
      <c r="T198" s="75">
        <f>'FY30'!R198</f>
        <v>17318.914560000001</v>
      </c>
      <c r="U198" s="75">
        <f>'FY31'!R198</f>
        <v>17665.2928512</v>
      </c>
      <c r="W198" s="75">
        <f>'FY26'!X198</f>
        <v>0</v>
      </c>
      <c r="X198" s="75">
        <f>'FY27'!X198</f>
        <v>0</v>
      </c>
      <c r="Y198" s="75">
        <f>'FY28'!X198</f>
        <v>0</v>
      </c>
      <c r="Z198" s="75">
        <f>'FY29'!X198</f>
        <v>0</v>
      </c>
      <c r="AA198" s="75">
        <f>'FY30'!X198</f>
        <v>0</v>
      </c>
      <c r="AB198" s="75">
        <f>'FY31'!X198</f>
        <v>0</v>
      </c>
      <c r="AC198" s="194"/>
      <c r="AD198" s="75">
        <f>'FY27'!AD198</f>
        <v>0</v>
      </c>
      <c r="AE198" s="75">
        <f>'FY28'!AD198</f>
        <v>0</v>
      </c>
      <c r="AF198" s="75">
        <f>'FY29'!AD198</f>
        <v>0</v>
      </c>
      <c r="AG198" s="75">
        <f>'FY30'!AD198</f>
        <v>0</v>
      </c>
      <c r="AH198" s="75">
        <f>'FY31'!AD198</f>
        <v>0</v>
      </c>
      <c r="AI198" s="194"/>
      <c r="AJ198" s="75">
        <f>'FY27'!AJ198</f>
        <v>0</v>
      </c>
      <c r="AK198" s="75">
        <f>'FY28'!AJ198</f>
        <v>0</v>
      </c>
      <c r="AL198" s="75">
        <f>'FY29'!AJ198</f>
        <v>0</v>
      </c>
      <c r="AM198" s="75">
        <f>'FY30'!AJ198</f>
        <v>0</v>
      </c>
      <c r="AN198" s="75">
        <f>'FY31'!AJ198</f>
        <v>0</v>
      </c>
      <c r="AP198" s="75">
        <f>'FY26'!AD198</f>
        <v>0</v>
      </c>
      <c r="AQ198" s="75">
        <f>'FY27'!AP198</f>
        <v>0</v>
      </c>
      <c r="AR198" s="75">
        <f>'FY28'!AP198</f>
        <v>0</v>
      </c>
      <c r="AS198" s="75">
        <f>'FY29'!AP198</f>
        <v>0</v>
      </c>
      <c r="AT198" s="75">
        <f>'FY30'!AP198</f>
        <v>0</v>
      </c>
      <c r="AU198" s="75">
        <f>'FY31'!AP198</f>
        <v>0</v>
      </c>
      <c r="AW198" s="75">
        <f>'FY26'!AJ198</f>
        <v>16000</v>
      </c>
      <c r="AX198" s="75">
        <f>'FY27'!AV198</f>
        <v>16320</v>
      </c>
      <c r="AY198" s="75">
        <f>'FY28'!AV198</f>
        <v>16646.400000000001</v>
      </c>
      <c r="AZ198" s="75">
        <f>'FY29'!AV198</f>
        <v>16979.328000000001</v>
      </c>
      <c r="BA198" s="75">
        <f>'FY30'!AV198</f>
        <v>17318.914560000001</v>
      </c>
      <c r="BB198" s="75">
        <f>'FY31'!AV198</f>
        <v>17665.2928512</v>
      </c>
      <c r="BD198" s="166"/>
      <c r="BE198" s="166"/>
    </row>
    <row r="199" spans="1:60" x14ac:dyDescent="0.25">
      <c r="A199" s="32" t="s">
        <v>145</v>
      </c>
      <c r="B199" s="75">
        <f>'FY26'!F199</f>
        <v>57500</v>
      </c>
      <c r="C199" s="75">
        <f>'FY27'!F199</f>
        <v>58650</v>
      </c>
      <c r="D199" s="75">
        <f>'FY28'!F199</f>
        <v>59823</v>
      </c>
      <c r="E199" s="75">
        <f>'FY29'!F199</f>
        <v>61019.46</v>
      </c>
      <c r="F199" s="75">
        <f>'FY30'!F199</f>
        <v>62239.849199999997</v>
      </c>
      <c r="G199" s="75">
        <f>'FY31'!F199</f>
        <v>63484.646183999997</v>
      </c>
      <c r="I199" s="75">
        <f>'FY26'!L199</f>
        <v>57000</v>
      </c>
      <c r="J199" s="75">
        <f>'FY27'!L199</f>
        <v>58140</v>
      </c>
      <c r="K199" s="75">
        <f>'FY28'!L199</f>
        <v>59302.8</v>
      </c>
      <c r="L199" s="75">
        <f>'FY29'!L199</f>
        <v>60488.856000000007</v>
      </c>
      <c r="M199" s="75">
        <f>'FY30'!L199</f>
        <v>61698.633120000006</v>
      </c>
      <c r="N199" s="75">
        <f>'FY31'!L199</f>
        <v>62932.605782400009</v>
      </c>
      <c r="P199" s="75">
        <f>'FY26'!R199</f>
        <v>130000</v>
      </c>
      <c r="Q199" s="75">
        <f>'FY27'!R199</f>
        <v>132600</v>
      </c>
      <c r="R199" s="75">
        <f>'FY28'!R199</f>
        <v>135252</v>
      </c>
      <c r="S199" s="75">
        <f>'FY29'!R199</f>
        <v>137957.04</v>
      </c>
      <c r="T199" s="75">
        <f>'FY30'!R199</f>
        <v>140716.1808</v>
      </c>
      <c r="U199" s="75">
        <f>'FY31'!R199</f>
        <v>143530.50441600001</v>
      </c>
      <c r="W199" s="75">
        <f>'FY26'!X199</f>
        <v>16000</v>
      </c>
      <c r="X199" s="75">
        <f>'FY27'!X199</f>
        <v>16480</v>
      </c>
      <c r="Y199" s="75">
        <f>'FY28'!X199</f>
        <v>16974.400000000001</v>
      </c>
      <c r="Z199" s="75">
        <f>'FY29'!X199</f>
        <v>17313.888000000003</v>
      </c>
      <c r="AA199" s="75">
        <f>'FY30'!X199</f>
        <v>17660.165760000004</v>
      </c>
      <c r="AB199" s="75">
        <f>'FY31'!X199</f>
        <v>18013.369075200004</v>
      </c>
      <c r="AC199" s="194"/>
      <c r="AD199" s="75">
        <f>'FY27'!AD199</f>
        <v>25000</v>
      </c>
      <c r="AE199" s="75">
        <f>'FY28'!AD199</f>
        <v>25750</v>
      </c>
      <c r="AF199" s="75">
        <f>'FY29'!AD199</f>
        <v>60488.856000000007</v>
      </c>
      <c r="AG199" s="75">
        <f>'FY30'!AD199</f>
        <v>75000</v>
      </c>
      <c r="AH199" s="75">
        <f>'FY31'!AD199</f>
        <v>90000</v>
      </c>
      <c r="AI199" s="194"/>
      <c r="AJ199" s="75">
        <f>'FY27'!AJ199</f>
        <v>0</v>
      </c>
      <c r="AK199" s="75">
        <f>'FY28'!AJ199</f>
        <v>56650</v>
      </c>
      <c r="AL199" s="75">
        <f>'FY29'!AJ199</f>
        <v>57783</v>
      </c>
      <c r="AM199" s="75">
        <f>'FY30'!AJ199</f>
        <v>58938.66</v>
      </c>
      <c r="AN199" s="75">
        <f>'FY31'!AJ199</f>
        <v>60706.819800000005</v>
      </c>
      <c r="AP199" s="75">
        <f>'FY26'!AD199</f>
        <v>0</v>
      </c>
      <c r="AQ199" s="75">
        <f>'FY27'!AP199</f>
        <v>0</v>
      </c>
      <c r="AR199" s="75">
        <f>'FY28'!AP199</f>
        <v>0</v>
      </c>
      <c r="AS199" s="75">
        <f>'FY29'!AP199</f>
        <v>0</v>
      </c>
      <c r="AT199" s="75">
        <f>'FY30'!AP199</f>
        <v>0</v>
      </c>
      <c r="AU199" s="75">
        <f>'FY31'!AP199</f>
        <v>0</v>
      </c>
      <c r="AW199" s="75">
        <f>'FY26'!AJ199</f>
        <v>260500</v>
      </c>
      <c r="AX199" s="75">
        <f>'FY27'!AV199</f>
        <v>290870</v>
      </c>
      <c r="AY199" s="75">
        <f>'FY28'!AV199</f>
        <v>353752.2</v>
      </c>
      <c r="AZ199" s="75">
        <f>'FY29'!AV199</f>
        <v>395051.10000000003</v>
      </c>
      <c r="BA199" s="75">
        <f>'FY30'!AV199</f>
        <v>416253.48888000008</v>
      </c>
      <c r="BB199" s="75">
        <f>'FY31'!AV199</f>
        <v>438667.94525760005</v>
      </c>
      <c r="BD199" s="166"/>
      <c r="BE199" s="166"/>
    </row>
    <row r="200" spans="1:60" x14ac:dyDescent="0.25">
      <c r="A200" s="32" t="s">
        <v>146</v>
      </c>
      <c r="B200" s="75">
        <f>'FY26'!F200</f>
        <v>37000</v>
      </c>
      <c r="C200" s="75">
        <f>'FY27'!F200</f>
        <v>37740</v>
      </c>
      <c r="D200" s="75">
        <f>'FY28'!F200</f>
        <v>38494.800000000003</v>
      </c>
      <c r="E200" s="75">
        <f>'FY29'!F200</f>
        <v>39264.696000000004</v>
      </c>
      <c r="F200" s="75">
        <f>'FY30'!F200</f>
        <v>40049.989920000007</v>
      </c>
      <c r="G200" s="75">
        <f>'FY31'!F200</f>
        <v>40850.989718400007</v>
      </c>
      <c r="I200" s="75">
        <f>'FY26'!L200</f>
        <v>45000</v>
      </c>
      <c r="J200" s="75">
        <f>'FY27'!L200</f>
        <v>45900</v>
      </c>
      <c r="K200" s="75">
        <f>'FY28'!L200</f>
        <v>46818</v>
      </c>
      <c r="L200" s="75">
        <f>'FY29'!L200</f>
        <v>47754.36</v>
      </c>
      <c r="M200" s="75">
        <f>'FY30'!L200</f>
        <v>48709.447200000002</v>
      </c>
      <c r="N200" s="75">
        <f>'FY31'!L200</f>
        <v>49683.636144000004</v>
      </c>
      <c r="P200" s="75">
        <f>'FY26'!R200</f>
        <v>70000</v>
      </c>
      <c r="Q200" s="75">
        <f>'FY27'!R200</f>
        <v>71400</v>
      </c>
      <c r="R200" s="75">
        <f>'FY28'!R200</f>
        <v>72828</v>
      </c>
      <c r="S200" s="75">
        <f>'FY29'!R200</f>
        <v>74284.56</v>
      </c>
      <c r="T200" s="75">
        <f>'FY30'!R200</f>
        <v>75770.251199999999</v>
      </c>
      <c r="U200" s="75">
        <f>'FY31'!R200</f>
        <v>77285.656224000006</v>
      </c>
      <c r="W200" s="75">
        <f>'FY26'!X200</f>
        <v>25000</v>
      </c>
      <c r="X200" s="75">
        <f>'FY27'!X200</f>
        <v>0</v>
      </c>
      <c r="Y200" s="75">
        <f>'FY28'!X200</f>
        <v>0</v>
      </c>
      <c r="Z200" s="75">
        <f>'FY29'!X200</f>
        <v>0</v>
      </c>
      <c r="AA200" s="75">
        <f>'FY30'!X200</f>
        <v>0</v>
      </c>
      <c r="AB200" s="75">
        <f>'FY31'!X200</f>
        <v>0</v>
      </c>
      <c r="AC200" s="194"/>
      <c r="AD200" s="75">
        <f>'FY27'!AD200</f>
        <v>20000</v>
      </c>
      <c r="AE200" s="75">
        <f>'FY28'!AD200</f>
        <v>20600</v>
      </c>
      <c r="AF200" s="75">
        <f>'FY29'!AD200</f>
        <v>47754.36</v>
      </c>
      <c r="AG200" s="75">
        <f>'FY30'!AD200</f>
        <v>65000</v>
      </c>
      <c r="AH200" s="75">
        <f>'FY31'!AD200</f>
        <v>75000</v>
      </c>
      <c r="AI200" s="194"/>
      <c r="AJ200" s="75">
        <f>'FY27'!AJ200</f>
        <v>0</v>
      </c>
      <c r="AK200" s="75">
        <f>'FY28'!AJ200</f>
        <v>36050</v>
      </c>
      <c r="AL200" s="75">
        <f>'FY29'!AJ200</f>
        <v>36771</v>
      </c>
      <c r="AM200" s="75">
        <f>'FY30'!AJ200</f>
        <v>37874.129999999997</v>
      </c>
      <c r="AN200" s="75">
        <f>'FY31'!AJ200</f>
        <v>38631.6126</v>
      </c>
      <c r="AP200" s="75">
        <f>'FY26'!AD200</f>
        <v>0</v>
      </c>
      <c r="AQ200" s="75">
        <f>'FY27'!AP200</f>
        <v>0</v>
      </c>
      <c r="AR200" s="75">
        <f>'FY28'!AP200</f>
        <v>0</v>
      </c>
      <c r="AS200" s="75">
        <f>'FY29'!AP200</f>
        <v>0</v>
      </c>
      <c r="AT200" s="75">
        <f>'FY30'!AP200</f>
        <v>0</v>
      </c>
      <c r="AU200" s="75">
        <f>'FY31'!AP200</f>
        <v>0</v>
      </c>
      <c r="AW200" s="75">
        <f>'FY26'!AJ200</f>
        <v>177000</v>
      </c>
      <c r="AX200" s="75">
        <f>'FY27'!AV200</f>
        <v>175040</v>
      </c>
      <c r="AY200" s="75">
        <f>'FY28'!AV200</f>
        <v>214790.8</v>
      </c>
      <c r="AZ200" s="75">
        <f>'FY29'!AV200</f>
        <v>245828.97600000002</v>
      </c>
      <c r="BA200" s="75">
        <f>'FY30'!AV200</f>
        <v>267403.81832000002</v>
      </c>
      <c r="BB200" s="75">
        <f>'FY31'!AV200</f>
        <v>281451.89468640002</v>
      </c>
      <c r="BD200" s="166"/>
      <c r="BE200" s="166"/>
    </row>
    <row r="201" spans="1:60" x14ac:dyDescent="0.25">
      <c r="A201" s="32" t="s">
        <v>147</v>
      </c>
      <c r="B201" s="75">
        <f>'FY26'!F201</f>
        <v>12500</v>
      </c>
      <c r="C201" s="75">
        <f>'FY27'!F201</f>
        <v>12750</v>
      </c>
      <c r="D201" s="75">
        <f>'FY28'!F201</f>
        <v>13005</v>
      </c>
      <c r="E201" s="75">
        <f>'FY29'!F201</f>
        <v>13265.1</v>
      </c>
      <c r="F201" s="75">
        <f>'FY30'!F201</f>
        <v>13530.402</v>
      </c>
      <c r="G201" s="75">
        <f>'FY31'!F201</f>
        <v>13801.010040000001</v>
      </c>
      <c r="I201" s="75">
        <f>'FY26'!L201</f>
        <v>7500</v>
      </c>
      <c r="J201" s="75">
        <f>'FY27'!L201</f>
        <v>7650</v>
      </c>
      <c r="K201" s="75">
        <f>'FY28'!L201</f>
        <v>7803</v>
      </c>
      <c r="L201" s="75">
        <f>'FY29'!L201</f>
        <v>7959.06</v>
      </c>
      <c r="M201" s="75">
        <f>'FY30'!L201</f>
        <v>8118.2412000000004</v>
      </c>
      <c r="N201" s="75">
        <f>'FY31'!L201</f>
        <v>8280.6060240000006</v>
      </c>
      <c r="P201" s="75">
        <f>'FY26'!R201</f>
        <v>21000</v>
      </c>
      <c r="Q201" s="75">
        <f>'FY27'!R201</f>
        <v>21420</v>
      </c>
      <c r="R201" s="75">
        <f>'FY28'!R201</f>
        <v>21848.400000000001</v>
      </c>
      <c r="S201" s="75">
        <f>'FY29'!R201</f>
        <v>22285.368000000002</v>
      </c>
      <c r="T201" s="75">
        <f>'FY30'!R201</f>
        <v>22731.075360000003</v>
      </c>
      <c r="U201" s="75">
        <f>'FY31'!R201</f>
        <v>23185.696867200004</v>
      </c>
      <c r="W201" s="75">
        <f>'FY26'!X201</f>
        <v>5500</v>
      </c>
      <c r="X201" s="75">
        <f>'FY27'!X201</f>
        <v>6000</v>
      </c>
      <c r="Y201" s="75">
        <f>'FY28'!X201</f>
        <v>6500</v>
      </c>
      <c r="Z201" s="75">
        <f>'FY29'!X201</f>
        <v>7000</v>
      </c>
      <c r="AA201" s="75">
        <f>'FY30'!X201</f>
        <v>7500</v>
      </c>
      <c r="AB201" s="75">
        <f>'FY31'!X201</f>
        <v>8000</v>
      </c>
      <c r="AC201" s="194"/>
      <c r="AD201" s="75">
        <f>'FY27'!AD201</f>
        <v>6000</v>
      </c>
      <c r="AE201" s="75">
        <f>'FY28'!AD201</f>
        <v>6500</v>
      </c>
      <c r="AF201" s="75">
        <f>'FY29'!AD201</f>
        <v>7959.06</v>
      </c>
      <c r="AG201" s="75">
        <f>'FY30'!AD201</f>
        <v>15000</v>
      </c>
      <c r="AH201" s="75">
        <f>'FY31'!AD201</f>
        <v>20000</v>
      </c>
      <c r="AI201" s="194"/>
      <c r="AJ201" s="75">
        <f>'FY27'!AJ201</f>
        <v>0</v>
      </c>
      <c r="AK201" s="75">
        <f>'FY28'!AJ201</f>
        <v>8000</v>
      </c>
      <c r="AL201" s="75">
        <f>'FY29'!AJ201</f>
        <v>8500</v>
      </c>
      <c r="AM201" s="75">
        <f>'FY30'!AJ201</f>
        <v>9000</v>
      </c>
      <c r="AN201" s="75">
        <f>'FY31'!AJ201</f>
        <v>9500</v>
      </c>
      <c r="AP201" s="75">
        <f>'FY26'!AD201</f>
        <v>0</v>
      </c>
      <c r="AQ201" s="75">
        <f>'FY27'!AP201</f>
        <v>0</v>
      </c>
      <c r="AR201" s="75">
        <f>'FY28'!AP201</f>
        <v>0</v>
      </c>
      <c r="AS201" s="75">
        <f>'FY29'!AP201</f>
        <v>0</v>
      </c>
      <c r="AT201" s="75">
        <f>'FY30'!AP201</f>
        <v>0</v>
      </c>
      <c r="AU201" s="75">
        <f>'FY31'!AP201</f>
        <v>0</v>
      </c>
      <c r="AW201" s="75">
        <f>'FY26'!AJ201</f>
        <v>46500</v>
      </c>
      <c r="AX201" s="75">
        <f>'FY27'!AV201</f>
        <v>53820</v>
      </c>
      <c r="AY201" s="75">
        <f>'FY28'!AV201</f>
        <v>63656.4</v>
      </c>
      <c r="AZ201" s="75">
        <f>'FY29'!AV201</f>
        <v>66968.588000000003</v>
      </c>
      <c r="BA201" s="75">
        <f>'FY30'!AV201</f>
        <v>75879.718560000008</v>
      </c>
      <c r="BB201" s="75">
        <f>'FY31'!AV201</f>
        <v>82767.312931200009</v>
      </c>
      <c r="BD201" s="166"/>
      <c r="BE201" s="166"/>
    </row>
    <row r="202" spans="1:60" x14ac:dyDescent="0.25">
      <c r="A202" s="32" t="s">
        <v>148</v>
      </c>
      <c r="B202" s="75">
        <f>'FY26'!F202</f>
        <v>104195</v>
      </c>
      <c r="C202" s="75">
        <f>'FY27'!F202</f>
        <v>107320.85</v>
      </c>
      <c r="D202" s="75">
        <f>'FY28'!F202</f>
        <v>110540.47550000002</v>
      </c>
      <c r="E202" s="75">
        <f>'FY29'!F202</f>
        <v>113856.68976500002</v>
      </c>
      <c r="F202" s="75">
        <f>'FY30'!F202</f>
        <v>117272.39045795002</v>
      </c>
      <c r="G202" s="75">
        <f>'FY31'!F202</f>
        <v>120790.56217168852</v>
      </c>
      <c r="I202" s="75">
        <f>'FY26'!L202</f>
        <v>102365</v>
      </c>
      <c r="J202" s="75">
        <f>'FY27'!L202</f>
        <v>105435.95</v>
      </c>
      <c r="K202" s="75">
        <f>'FY28'!L202</f>
        <v>108599.0285</v>
      </c>
      <c r="L202" s="75">
        <f>'FY29'!L202</f>
        <v>111856.99935500001</v>
      </c>
      <c r="M202" s="75">
        <f>'FY30'!L202</f>
        <v>115212.70933565001</v>
      </c>
      <c r="N202" s="75">
        <f>'FY31'!L202</f>
        <v>117516.96352236302</v>
      </c>
      <c r="P202" s="75">
        <f>'FY26'!R202</f>
        <v>337650</v>
      </c>
      <c r="Q202" s="75">
        <f>'FY27'!R202</f>
        <v>347779.5</v>
      </c>
      <c r="R202" s="75">
        <f>'FY28'!R202</f>
        <v>358212.88500000001</v>
      </c>
      <c r="S202" s="75">
        <f>'FY29'!R202</f>
        <v>368959.27155</v>
      </c>
      <c r="T202" s="75">
        <f>'FY30'!R202</f>
        <v>380028.04969650001</v>
      </c>
      <c r="U202" s="75">
        <f>'FY31'!R202</f>
        <v>380028.04969650001</v>
      </c>
      <c r="W202" s="75">
        <f>'FY26'!X202</f>
        <v>32175</v>
      </c>
      <c r="X202" s="75">
        <f>'FY27'!X202</f>
        <v>33783.75</v>
      </c>
      <c r="Y202" s="75">
        <f>'FY28'!X202</f>
        <v>35472.9375</v>
      </c>
      <c r="Z202" s="75">
        <f>'FY29'!X202</f>
        <v>36891.855000000003</v>
      </c>
      <c r="AA202" s="75">
        <f>'FY30'!X202</f>
        <v>38367.529200000004</v>
      </c>
      <c r="AB202" s="75">
        <f>'FY31'!X202</f>
        <v>39902.230368000004</v>
      </c>
      <c r="AC202" s="194"/>
      <c r="AD202" s="75">
        <f>'FY27'!AD202</f>
        <v>40950</v>
      </c>
      <c r="AE202" s="75">
        <f>'FY28'!AD202</f>
        <v>42997.5</v>
      </c>
      <c r="AF202" s="75">
        <f>'FY29'!AD202</f>
        <v>111856.99935500001</v>
      </c>
      <c r="AG202" s="75">
        <f>'FY30'!AD202</f>
        <v>129844.32386565</v>
      </c>
      <c r="AH202" s="75">
        <f>'FY31'!AD202</f>
        <v>163880.77951341955</v>
      </c>
      <c r="AI202" s="194"/>
      <c r="AJ202" s="75">
        <f>'FY27'!AJ202</f>
        <v>0</v>
      </c>
      <c r="AK202" s="75">
        <f>'FY28'!AJ202</f>
        <v>89523</v>
      </c>
      <c r="AL202" s="75">
        <f>'FY29'!AJ202</f>
        <v>99892.747499999998</v>
      </c>
      <c r="AM202" s="75">
        <f>'FY30'!AJ202</f>
        <v>108459.254925</v>
      </c>
      <c r="AN202" s="75">
        <f>'FY31'!AJ202</f>
        <v>111713.03257275</v>
      </c>
      <c r="AP202" s="75">
        <f>'FY26'!AD202</f>
        <v>0</v>
      </c>
      <c r="AQ202" s="75">
        <f>'FY27'!AP202</f>
        <v>0</v>
      </c>
      <c r="AR202" s="75">
        <f>'FY28'!AP202</f>
        <v>0</v>
      </c>
      <c r="AS202" s="75">
        <f>'FY29'!AP202</f>
        <v>0</v>
      </c>
      <c r="AT202" s="75">
        <f>'FY30'!AP202</f>
        <v>0</v>
      </c>
      <c r="AU202" s="75">
        <f>'FY31'!AP202</f>
        <v>0</v>
      </c>
      <c r="AW202" s="75">
        <f>'FY26'!AJ202</f>
        <v>576385</v>
      </c>
      <c r="AX202" s="75">
        <f>'FY27'!AV202</f>
        <v>635270.05000000005</v>
      </c>
      <c r="AY202" s="75">
        <f>'FY28'!AV202</f>
        <v>745345.82649999997</v>
      </c>
      <c r="AZ202" s="75">
        <f>'FY29'!AV202</f>
        <v>843314.56252499996</v>
      </c>
      <c r="BA202" s="75">
        <f>'FY30'!AV202</f>
        <v>889184.25748075009</v>
      </c>
      <c r="BB202" s="75">
        <f>'FY31'!AV202</f>
        <v>933831.61784472107</v>
      </c>
      <c r="BD202" s="166"/>
      <c r="BE202" s="166"/>
    </row>
    <row r="203" spans="1:60" x14ac:dyDescent="0.25">
      <c r="A203" s="32" t="s">
        <v>149</v>
      </c>
      <c r="B203" s="75">
        <f>'FY26'!F203</f>
        <v>145000</v>
      </c>
      <c r="C203" s="75">
        <f>'FY27'!F203</f>
        <v>150000</v>
      </c>
      <c r="D203" s="75">
        <f>'FY28'!F203</f>
        <v>155000</v>
      </c>
      <c r="E203" s="75">
        <f>'FY29'!F203</f>
        <v>160000</v>
      </c>
      <c r="F203" s="75">
        <f>'FY30'!F203</f>
        <v>165000</v>
      </c>
      <c r="G203" s="75">
        <f>'FY31'!F203</f>
        <v>170000</v>
      </c>
      <c r="I203" s="75">
        <f>'FY26'!L203</f>
        <v>140000</v>
      </c>
      <c r="J203" s="75">
        <f>'FY27'!L203</f>
        <v>145000</v>
      </c>
      <c r="K203" s="75">
        <f>'FY28'!L203</f>
        <v>150000</v>
      </c>
      <c r="L203" s="75">
        <f>'FY29'!L203</f>
        <v>155000</v>
      </c>
      <c r="M203" s="75">
        <f>'FY30'!L203</f>
        <v>160000</v>
      </c>
      <c r="N203" s="75">
        <f>'FY31'!L203</f>
        <v>165000</v>
      </c>
      <c r="P203" s="75">
        <f>'FY26'!R203</f>
        <v>235000</v>
      </c>
      <c r="Q203" s="75">
        <f>'FY27'!R203</f>
        <v>245000</v>
      </c>
      <c r="R203" s="75">
        <f>'FY28'!R203</f>
        <v>255000</v>
      </c>
      <c r="S203" s="75">
        <f>'FY29'!R203</f>
        <v>265000</v>
      </c>
      <c r="T203" s="75">
        <f>'FY30'!R203</f>
        <v>275000</v>
      </c>
      <c r="U203" s="75">
        <f>'FY31'!R203</f>
        <v>285000</v>
      </c>
      <c r="W203" s="75">
        <f>'FY26'!X203</f>
        <v>40000</v>
      </c>
      <c r="X203" s="75">
        <f>'FY27'!X203</f>
        <v>50000</v>
      </c>
      <c r="Y203" s="75">
        <f>'FY28'!X203</f>
        <v>55000</v>
      </c>
      <c r="Z203" s="75">
        <f>'FY29'!X203</f>
        <v>60000</v>
      </c>
      <c r="AA203" s="75">
        <f>'FY30'!X203</f>
        <v>65000</v>
      </c>
      <c r="AB203" s="75">
        <f>'FY31'!X203</f>
        <v>70000</v>
      </c>
      <c r="AC203" s="194"/>
      <c r="AD203" s="75">
        <f>'FY27'!AD203</f>
        <v>50000</v>
      </c>
      <c r="AE203" s="75">
        <f>'FY28'!AD203</f>
        <v>55000</v>
      </c>
      <c r="AF203" s="75">
        <f>'FY29'!AD203</f>
        <v>125000</v>
      </c>
      <c r="AG203" s="75">
        <f>'FY30'!AD203</f>
        <v>135000</v>
      </c>
      <c r="AH203" s="75">
        <f>'FY31'!AD203</f>
        <v>145000</v>
      </c>
      <c r="AI203" s="194"/>
      <c r="AJ203" s="75">
        <f>'FY27'!AJ203</f>
        <v>0</v>
      </c>
      <c r="AK203" s="75">
        <f>'FY28'!AJ203</f>
        <v>60000</v>
      </c>
      <c r="AL203" s="75">
        <f>'FY29'!AJ203</f>
        <v>75000</v>
      </c>
      <c r="AM203" s="75">
        <f>'FY30'!AJ203</f>
        <v>90000</v>
      </c>
      <c r="AN203" s="75">
        <f>'FY31'!AJ203</f>
        <v>100000</v>
      </c>
      <c r="AP203" s="75">
        <f>'FY26'!AD203</f>
        <v>0</v>
      </c>
      <c r="AQ203" s="75">
        <f>'FY27'!AP203</f>
        <v>0</v>
      </c>
      <c r="AR203" s="75">
        <f>'FY28'!AP203</f>
        <v>0</v>
      </c>
      <c r="AS203" s="75">
        <f>'FY29'!AP203</f>
        <v>0</v>
      </c>
      <c r="AT203" s="75">
        <f>'FY30'!AP203</f>
        <v>0</v>
      </c>
      <c r="AU203" s="75">
        <f>'FY31'!AP203</f>
        <v>0</v>
      </c>
      <c r="AW203" s="75">
        <f>'FY26'!AJ203</f>
        <v>560000</v>
      </c>
      <c r="AX203" s="75">
        <f>'FY27'!AV203</f>
        <v>640000</v>
      </c>
      <c r="AY203" s="75">
        <f>'FY28'!AV203</f>
        <v>730000</v>
      </c>
      <c r="AZ203" s="75">
        <f>'FY29'!AV203</f>
        <v>840000</v>
      </c>
      <c r="BA203" s="75">
        <f>'FY30'!AV203</f>
        <v>890000</v>
      </c>
      <c r="BB203" s="75">
        <f>'FY31'!AV203</f>
        <v>935000</v>
      </c>
      <c r="BD203" s="166"/>
      <c r="BE203" s="166"/>
    </row>
    <row r="204" spans="1:60" x14ac:dyDescent="0.25">
      <c r="A204" s="32" t="s">
        <v>150</v>
      </c>
      <c r="B204" s="75">
        <f>'FY26'!F204</f>
        <v>0</v>
      </c>
      <c r="C204" s="75">
        <f>'FY27'!F204</f>
        <v>0</v>
      </c>
      <c r="D204" s="75">
        <f>'FY28'!F204</f>
        <v>0</v>
      </c>
      <c r="E204" s="75">
        <f>'FY29'!F204</f>
        <v>0</v>
      </c>
      <c r="F204" s="75">
        <f>'FY30'!F204</f>
        <v>0</v>
      </c>
      <c r="G204" s="75">
        <f>'FY31'!F204</f>
        <v>0</v>
      </c>
      <c r="I204" s="75">
        <f>'FY26'!L204</f>
        <v>0</v>
      </c>
      <c r="J204" s="75">
        <f>'FY27'!L204</f>
        <v>0</v>
      </c>
      <c r="K204" s="75">
        <f>'FY28'!L204</f>
        <v>0</v>
      </c>
      <c r="L204" s="75">
        <f>'FY29'!L204</f>
        <v>0</v>
      </c>
      <c r="M204" s="75">
        <f>'FY30'!L204</f>
        <v>0</v>
      </c>
      <c r="N204" s="75">
        <f>'FY31'!L204</f>
        <v>0</v>
      </c>
      <c r="P204" s="75">
        <f>'FY26'!R204</f>
        <v>0</v>
      </c>
      <c r="Q204" s="75">
        <f>'FY27'!R204</f>
        <v>0</v>
      </c>
      <c r="R204" s="75">
        <f>'FY28'!R204</f>
        <v>0</v>
      </c>
      <c r="S204" s="75">
        <f>'FY29'!R204</f>
        <v>0</v>
      </c>
      <c r="T204" s="75">
        <f>'FY30'!R204</f>
        <v>0</v>
      </c>
      <c r="U204" s="75">
        <f>'FY31'!R204</f>
        <v>0</v>
      </c>
      <c r="W204" s="75">
        <f>'FY26'!X204</f>
        <v>0</v>
      </c>
      <c r="X204" s="75">
        <f>'FY27'!X204</f>
        <v>0</v>
      </c>
      <c r="Y204" s="75">
        <f>'FY28'!X204</f>
        <v>0</v>
      </c>
      <c r="Z204" s="75">
        <f>'FY29'!X204</f>
        <v>0</v>
      </c>
      <c r="AA204" s="75">
        <f>'FY30'!X204</f>
        <v>0</v>
      </c>
      <c r="AB204" s="75">
        <f>'FY31'!X204</f>
        <v>0</v>
      </c>
      <c r="AC204" s="194"/>
      <c r="AD204" s="75">
        <f>'FY27'!AD204</f>
        <v>0</v>
      </c>
      <c r="AE204" s="75">
        <f>'FY28'!AD204</f>
        <v>0</v>
      </c>
      <c r="AF204" s="75">
        <f>'FY29'!AD204</f>
        <v>0</v>
      </c>
      <c r="AG204" s="75">
        <f>'FY30'!AD204</f>
        <v>0</v>
      </c>
      <c r="AH204" s="75">
        <f>'FY31'!AD204</f>
        <v>0</v>
      </c>
      <c r="AI204" s="194"/>
      <c r="AJ204" s="75">
        <f>'FY27'!AJ204</f>
        <v>0</v>
      </c>
      <c r="AK204" s="75">
        <f>'FY28'!AJ204</f>
        <v>0</v>
      </c>
      <c r="AL204" s="75">
        <f>'FY29'!AJ204</f>
        <v>0</v>
      </c>
      <c r="AM204" s="75">
        <f>'FY30'!AJ204</f>
        <v>0</v>
      </c>
      <c r="AN204" s="75">
        <f>'FY31'!AJ204</f>
        <v>0</v>
      </c>
      <c r="AP204" s="75">
        <f>'FY26'!AD204</f>
        <v>0</v>
      </c>
      <c r="AQ204" s="75">
        <f>'FY27'!AP204</f>
        <v>0</v>
      </c>
      <c r="AR204" s="75">
        <f>'FY28'!AP204</f>
        <v>0</v>
      </c>
      <c r="AS204" s="75">
        <f>'FY29'!AP204</f>
        <v>0</v>
      </c>
      <c r="AT204" s="75">
        <f>'FY30'!AP204</f>
        <v>0</v>
      </c>
      <c r="AU204" s="75">
        <f>'FY31'!AP204</f>
        <v>0</v>
      </c>
      <c r="AW204" s="75">
        <f>'FY26'!AJ204</f>
        <v>0</v>
      </c>
      <c r="AX204" s="75">
        <f>'FY27'!AV204</f>
        <v>0</v>
      </c>
      <c r="AY204" s="75">
        <f>'FY28'!AV204</f>
        <v>0</v>
      </c>
      <c r="AZ204" s="75">
        <f>'FY29'!AV204</f>
        <v>0</v>
      </c>
      <c r="BA204" s="75">
        <f>'FY30'!AV204</f>
        <v>0</v>
      </c>
      <c r="BB204" s="75">
        <f>'FY31'!AV204</f>
        <v>0</v>
      </c>
      <c r="BD204" s="166"/>
      <c r="BE204" s="166"/>
    </row>
    <row r="205" spans="1:60" x14ac:dyDescent="0.25">
      <c r="A205" s="32" t="s">
        <v>151</v>
      </c>
      <c r="B205" s="75">
        <f>'FY26'!F205</f>
        <v>25250</v>
      </c>
      <c r="C205" s="75">
        <f>'FY27'!F205</f>
        <v>25755</v>
      </c>
      <c r="D205" s="75">
        <f>'FY28'!F205</f>
        <v>26270.100000000002</v>
      </c>
      <c r="E205" s="75">
        <f>'FY29'!F205</f>
        <v>26795.502000000004</v>
      </c>
      <c r="F205" s="75">
        <f>'FY30'!F205</f>
        <v>27331.412040000003</v>
      </c>
      <c r="G205" s="75">
        <f>'FY31'!F205</f>
        <v>27878.040280800004</v>
      </c>
      <c r="I205" s="75">
        <f>'FY26'!L205</f>
        <v>20736</v>
      </c>
      <c r="J205" s="75">
        <f>'FY27'!L205</f>
        <v>21150.720000000001</v>
      </c>
      <c r="K205" s="75">
        <f>'FY28'!L205</f>
        <v>21573.734400000001</v>
      </c>
      <c r="L205" s="75">
        <f>'FY29'!L205</f>
        <v>22005.209088000003</v>
      </c>
      <c r="M205" s="75">
        <f>'FY30'!L205</f>
        <v>22445.313269760005</v>
      </c>
      <c r="N205" s="75">
        <f>'FY31'!L205</f>
        <v>22894.219535155204</v>
      </c>
      <c r="P205" s="75">
        <f>'FY26'!R205</f>
        <v>35840</v>
      </c>
      <c r="Q205" s="75">
        <f>'FY27'!R205</f>
        <v>36915.200000000004</v>
      </c>
      <c r="R205" s="75">
        <f>'FY28'!R205</f>
        <v>37653.504000000008</v>
      </c>
      <c r="S205" s="75">
        <f>'FY29'!R205</f>
        <v>38406.574080000006</v>
      </c>
      <c r="T205" s="75">
        <f>'FY30'!R205</f>
        <v>39174.705561600007</v>
      </c>
      <c r="U205" s="75">
        <f>'FY31'!R205</f>
        <v>40349.946728448005</v>
      </c>
      <c r="W205" s="75">
        <f>'FY26'!X205</f>
        <v>9000</v>
      </c>
      <c r="X205" s="75">
        <f>'FY27'!X205</f>
        <v>9270</v>
      </c>
      <c r="Y205" s="75">
        <f>'FY28'!X205</f>
        <v>9548.1</v>
      </c>
      <c r="Z205" s="75">
        <f>'FY29'!X205</f>
        <v>9834.5430000000015</v>
      </c>
      <c r="AA205" s="75">
        <f>'FY30'!X205</f>
        <v>10129.579290000001</v>
      </c>
      <c r="AB205" s="75">
        <f>'FY31'!X205</f>
        <v>10433.466668700003</v>
      </c>
      <c r="AC205" s="194"/>
      <c r="AD205" s="75">
        <f>'FY27'!AD205</f>
        <v>12000</v>
      </c>
      <c r="AE205" s="75">
        <f>'FY28'!AD205</f>
        <v>14500</v>
      </c>
      <c r="AF205" s="75">
        <f>'FY29'!AD205</f>
        <v>22005.209088000003</v>
      </c>
      <c r="AG205" s="75">
        <f>'FY30'!AD205</f>
        <v>28898.816256000002</v>
      </c>
      <c r="AH205" s="75">
        <f>'FY31'!AD205</f>
        <v>30827.667916800005</v>
      </c>
      <c r="AI205" s="194"/>
      <c r="AJ205" s="75">
        <f>'FY27'!AJ205</f>
        <v>0</v>
      </c>
      <c r="AK205" s="75">
        <f>'FY28'!AJ205</f>
        <v>21358.080000000002</v>
      </c>
      <c r="AL205" s="75">
        <f>'FY29'!AJ205</f>
        <v>21785.241600000001</v>
      </c>
      <c r="AM205" s="75">
        <f>'FY30'!AJ205</f>
        <v>22220.946432000001</v>
      </c>
      <c r="AN205" s="75">
        <f>'FY31'!AJ205</f>
        <v>22887.57482496</v>
      </c>
      <c r="AP205" s="75">
        <f>'FY26'!AD205</f>
        <v>0</v>
      </c>
      <c r="AQ205" s="75">
        <f>'FY27'!AP205</f>
        <v>0</v>
      </c>
      <c r="AR205" s="75">
        <f>'FY28'!AP205</f>
        <v>0</v>
      </c>
      <c r="AS205" s="75">
        <f>'FY29'!AP205</f>
        <v>0</v>
      </c>
      <c r="AT205" s="75">
        <f>'FY30'!AP205</f>
        <v>0</v>
      </c>
      <c r="AU205" s="75">
        <f>'FY31'!AP205</f>
        <v>0</v>
      </c>
      <c r="AW205" s="75">
        <f>'FY26'!AJ205</f>
        <v>90826</v>
      </c>
      <c r="AX205" s="75">
        <f>'FY27'!AV205</f>
        <v>105090.92000000001</v>
      </c>
      <c r="AY205" s="75">
        <f>'FY28'!AV205</f>
        <v>130903.51840000002</v>
      </c>
      <c r="AZ205" s="75">
        <f>'FY29'!AV205</f>
        <v>140832.27885600002</v>
      </c>
      <c r="BA205" s="75">
        <f>'FY30'!AV205</f>
        <v>150200.77284935999</v>
      </c>
      <c r="BB205" s="75">
        <f>'FY31'!AV205</f>
        <v>155270.91595486322</v>
      </c>
      <c r="BD205" s="166"/>
      <c r="BE205" s="166"/>
    </row>
    <row r="206" spans="1:60" x14ac:dyDescent="0.25">
      <c r="A206" s="33" t="s">
        <v>152</v>
      </c>
      <c r="B206" s="75">
        <f>'FY26'!F206</f>
        <v>34154.400000000001</v>
      </c>
      <c r="C206" s="75">
        <f>'FY27'!F206</f>
        <v>35179.031999999999</v>
      </c>
      <c r="D206" s="75">
        <f>'FY28'!F206</f>
        <v>35882.612639999999</v>
      </c>
      <c r="E206" s="75">
        <f>'FY29'!F206</f>
        <v>36600.264892799998</v>
      </c>
      <c r="F206" s="75">
        <f>'FY30'!F206</f>
        <v>37698.272839584002</v>
      </c>
      <c r="G206" s="75">
        <f>'FY31'!F206</f>
        <v>38452.238296375683</v>
      </c>
      <c r="I206" s="75">
        <f>'FY26'!L206</f>
        <v>33374.400000000001</v>
      </c>
      <c r="J206" s="75">
        <f>'FY27'!L206</f>
        <v>34375.632000000005</v>
      </c>
      <c r="K206" s="75">
        <f>'FY28'!L206</f>
        <v>35063.144640000006</v>
      </c>
      <c r="L206" s="75">
        <f>'FY29'!L206</f>
        <v>35764.407532800004</v>
      </c>
      <c r="M206" s="75">
        <f>'FY30'!L206</f>
        <v>36479.695683456004</v>
      </c>
      <c r="N206" s="75">
        <f>'FY31'!L206</f>
        <v>37209.289597125127</v>
      </c>
      <c r="P206" s="75">
        <f>'FY26'!R206</f>
        <v>55480</v>
      </c>
      <c r="Q206" s="75">
        <f>'FY27'!R206</f>
        <v>57144.4</v>
      </c>
      <c r="R206" s="75">
        <f>'FY28'!R206</f>
        <v>58287.288</v>
      </c>
      <c r="S206" s="75">
        <f>'FY29'!R206</f>
        <v>59453.033759999998</v>
      </c>
      <c r="T206" s="75">
        <f>'FY30'!R206</f>
        <v>60642.094435200001</v>
      </c>
      <c r="U206" s="75">
        <f>'FY31'!R206</f>
        <v>62461.357268256004</v>
      </c>
      <c r="W206" s="75">
        <f>'FY26'!X206</f>
        <v>20000</v>
      </c>
      <c r="X206" s="75">
        <f>'FY27'!X206</f>
        <v>20600</v>
      </c>
      <c r="Y206" s="75">
        <f>'FY28'!X206</f>
        <v>21218</v>
      </c>
      <c r="Z206" s="75">
        <f>'FY29'!X206</f>
        <v>21854.54</v>
      </c>
      <c r="AA206" s="75">
        <f>'FY30'!X206</f>
        <v>22510.176200000002</v>
      </c>
      <c r="AB206" s="75">
        <f>'FY31'!X206</f>
        <v>23185.481486000001</v>
      </c>
      <c r="AC206" s="194"/>
      <c r="AD206" s="75">
        <f>'FY27'!AD206</f>
        <v>21000</v>
      </c>
      <c r="AE206" s="75">
        <f>'FY28'!AD206</f>
        <v>21630</v>
      </c>
      <c r="AF206" s="75">
        <f>'FY29'!AD206</f>
        <v>35764.407532800004</v>
      </c>
      <c r="AG206" s="75">
        <f>'FY30'!AD206</f>
        <v>47410.138083456004</v>
      </c>
      <c r="AH206" s="75">
        <f>'FY31'!AD206</f>
        <v>59507.392093125134</v>
      </c>
      <c r="AI206" s="194"/>
      <c r="AJ206" s="75">
        <f>'FY27'!AJ206</f>
        <v>0</v>
      </c>
      <c r="AK206" s="75">
        <f>'FY28'!AJ206</f>
        <v>34375.632000000005</v>
      </c>
      <c r="AL206" s="75">
        <f>'FY29'!AJ206</f>
        <v>35063.144640000006</v>
      </c>
      <c r="AM206" s="75">
        <f>'FY30'!AJ206</f>
        <v>35764.407532800004</v>
      </c>
      <c r="AN206" s="75">
        <f>'FY31'!AJ206</f>
        <v>36837.339758784008</v>
      </c>
      <c r="AP206" s="75">
        <f>'FY26'!AD206</f>
        <v>0</v>
      </c>
      <c r="AQ206" s="75">
        <f>'FY27'!AP206</f>
        <v>0</v>
      </c>
      <c r="AR206" s="75">
        <f>'FY28'!AP206</f>
        <v>0</v>
      </c>
      <c r="AS206" s="75">
        <f>'FY29'!AP206</f>
        <v>0</v>
      </c>
      <c r="AT206" s="75">
        <f>'FY30'!AP206</f>
        <v>0</v>
      </c>
      <c r="AU206" s="75">
        <f>'FY31'!AP206</f>
        <v>0</v>
      </c>
      <c r="AW206" s="75">
        <f>'FY26'!AJ206</f>
        <v>143008.79999999999</v>
      </c>
      <c r="AX206" s="75">
        <f>'FY27'!AV206</f>
        <v>168299.06400000001</v>
      </c>
      <c r="AY206" s="75">
        <f>'FY28'!AV206</f>
        <v>206456.67728000003</v>
      </c>
      <c r="AZ206" s="75">
        <f>'FY29'!AV206</f>
        <v>224499.7983584</v>
      </c>
      <c r="BA206" s="75">
        <f>'FY30'!AV206</f>
        <v>240504.78477449602</v>
      </c>
      <c r="BB206" s="75">
        <f>'FY31'!AV206</f>
        <v>257653.09849966597</v>
      </c>
      <c r="BD206" s="166"/>
      <c r="BE206" s="166"/>
    </row>
    <row r="207" spans="1:60" x14ac:dyDescent="0.25">
      <c r="A207" s="34"/>
      <c r="B207" s="76">
        <f>'FY26'!F207</f>
        <v>510599.4</v>
      </c>
      <c r="C207" s="76">
        <f>'FY27'!F207</f>
        <v>524294.88199999998</v>
      </c>
      <c r="D207" s="76">
        <f>'FY28'!F207</f>
        <v>537853.98813999991</v>
      </c>
      <c r="E207" s="76">
        <f>'FY29'!F207</f>
        <v>551616.47265779995</v>
      </c>
      <c r="F207" s="76">
        <f>'FY30'!F207</f>
        <v>565953.37165753404</v>
      </c>
      <c r="G207" s="76">
        <f>'FY31'!F207</f>
        <v>580145.16299526428</v>
      </c>
      <c r="I207" s="76">
        <f>'FY26'!L207</f>
        <v>500975.4</v>
      </c>
      <c r="J207" s="76">
        <f>'FY27'!L207</f>
        <v>514552.30200000003</v>
      </c>
      <c r="K207" s="76">
        <f>'FY28'!L207</f>
        <v>527997.70753999997</v>
      </c>
      <c r="L207" s="76">
        <f>'FY29'!L207</f>
        <v>541643.65197580005</v>
      </c>
      <c r="M207" s="76">
        <f>'FY30'!L207</f>
        <v>555495.09500886605</v>
      </c>
      <c r="N207" s="76">
        <f>'FY31'!L207</f>
        <v>568404.9969090434</v>
      </c>
      <c r="P207" s="76">
        <f>'FY26'!R207</f>
        <v>1185970</v>
      </c>
      <c r="Q207" s="76">
        <f>'FY27'!R207</f>
        <v>1219279.0999999999</v>
      </c>
      <c r="R207" s="76">
        <f>'FY28'!R207</f>
        <v>1252242.477</v>
      </c>
      <c r="S207" s="76">
        <f>'FY29'!R207</f>
        <v>1285769.45539</v>
      </c>
      <c r="T207" s="76">
        <f>'FY30'!R207</f>
        <v>1319874.4372133</v>
      </c>
      <c r="U207" s="76">
        <f>'FY31'!R207</f>
        <v>1344169.5329636037</v>
      </c>
      <c r="W207" s="76">
        <f>'FY26'!X207</f>
        <v>212675</v>
      </c>
      <c r="X207" s="76">
        <f>'FY27'!X207</f>
        <v>203083.75</v>
      </c>
      <c r="Y207" s="76">
        <f>'FY28'!X207</f>
        <v>213671.9375</v>
      </c>
      <c r="Z207" s="76">
        <f>'FY29'!X207</f>
        <v>223232.49600000001</v>
      </c>
      <c r="AA207" s="76">
        <f>'FY30'!X207</f>
        <v>232911.87385000003</v>
      </c>
      <c r="AB207" s="76">
        <f>'FY31'!X207</f>
        <v>242713.85946590002</v>
      </c>
      <c r="AC207" s="199"/>
      <c r="AD207" s="76">
        <f>'FY27'!AD207</f>
        <v>244950</v>
      </c>
      <c r="AE207" s="76">
        <f>'FY28'!AD207</f>
        <v>261977.5</v>
      </c>
      <c r="AF207" s="76">
        <f>'FY29'!AD207</f>
        <v>511643.65197580005</v>
      </c>
      <c r="AG207" s="76">
        <f>'FY30'!AD207</f>
        <v>616153.27820510592</v>
      </c>
      <c r="AH207" s="76">
        <f>'FY31'!AD207</f>
        <v>724215.83952334477</v>
      </c>
      <c r="AI207" s="199"/>
      <c r="AJ207" s="76">
        <f>'FY27'!AJ207</f>
        <v>0</v>
      </c>
      <c r="AK207" s="76">
        <f>'FY28'!AJ207</f>
        <v>416681.712</v>
      </c>
      <c r="AL207" s="76">
        <f>'FY29'!AJ207</f>
        <v>447734.63374000002</v>
      </c>
      <c r="AM207" s="76">
        <f>'FY30'!AJ207</f>
        <v>478585.08388980001</v>
      </c>
      <c r="AN207" s="76">
        <f>'FY31'!AJ207</f>
        <v>500093.89510649402</v>
      </c>
      <c r="AP207" s="76">
        <f>'FY26'!AD207</f>
        <v>0</v>
      </c>
      <c r="AQ207" s="76">
        <f>'FY27'!AP207</f>
        <v>0</v>
      </c>
      <c r="AR207" s="76">
        <f>'FY28'!AP207</f>
        <v>0</v>
      </c>
      <c r="AS207" s="76">
        <f>'FY29'!AP207</f>
        <v>0</v>
      </c>
      <c r="AT207" s="76">
        <f>'FY30'!AP207</f>
        <v>0</v>
      </c>
      <c r="AU207" s="76">
        <f>'FY31'!AP207</f>
        <v>0</v>
      </c>
      <c r="AW207" s="76">
        <f>'FY26'!AJ207</f>
        <v>2410219.7999999998</v>
      </c>
      <c r="AX207" s="76">
        <f>'FY27'!AV207</f>
        <v>2706160.034</v>
      </c>
      <c r="AY207" s="76">
        <f>'FY28'!AV207</f>
        <v>3210425.3221800001</v>
      </c>
      <c r="AZ207" s="76">
        <f>'FY29'!AV207</f>
        <v>3561640.3617393998</v>
      </c>
      <c r="BA207" s="76">
        <f>'FY30'!AV207</f>
        <v>3768973.1398246065</v>
      </c>
      <c r="BB207" s="76">
        <f>'FY31'!AV207</f>
        <v>3959743.2869636505</v>
      </c>
      <c r="BD207" s="166"/>
      <c r="BE207" s="166"/>
    </row>
    <row r="208" spans="1:60" ht="16.5" thickBot="1" x14ac:dyDescent="0.3">
      <c r="B208" s="77">
        <f>'FY26'!F208</f>
        <v>0</v>
      </c>
      <c r="C208" s="77">
        <f>'FY27'!F208</f>
        <v>0</v>
      </c>
      <c r="D208" s="77">
        <f>'FY28'!F208</f>
        <v>0</v>
      </c>
      <c r="E208" s="77">
        <f>'FY29'!F208</f>
        <v>0</v>
      </c>
      <c r="F208" s="77">
        <f>'FY30'!F208</f>
        <v>0</v>
      </c>
      <c r="G208" s="77">
        <f>'FY31'!F208</f>
        <v>0</v>
      </c>
      <c r="I208" s="77">
        <f>'FY26'!L208</f>
        <v>0</v>
      </c>
      <c r="J208" s="77">
        <f>'FY27'!L208</f>
        <v>0</v>
      </c>
      <c r="K208" s="77">
        <f>'FY28'!L208</f>
        <v>0</v>
      </c>
      <c r="L208" s="77">
        <f>'FY29'!L208</f>
        <v>0</v>
      </c>
      <c r="M208" s="77">
        <f>'FY30'!L208</f>
        <v>0</v>
      </c>
      <c r="N208" s="77">
        <f>'FY31'!L208</f>
        <v>0</v>
      </c>
      <c r="P208" s="77">
        <f>'FY26'!R208</f>
        <v>0</v>
      </c>
      <c r="Q208" s="77">
        <f>'FY27'!R208</f>
        <v>0</v>
      </c>
      <c r="R208" s="77">
        <f>'FY28'!R208</f>
        <v>0</v>
      </c>
      <c r="S208" s="77">
        <f>'FY29'!R208</f>
        <v>0</v>
      </c>
      <c r="T208" s="77">
        <f>'FY30'!R208</f>
        <v>0</v>
      </c>
      <c r="U208" s="77">
        <f>'FY31'!R208</f>
        <v>0</v>
      </c>
      <c r="W208" s="77">
        <f>'FY26'!X208</f>
        <v>0</v>
      </c>
      <c r="X208" s="77">
        <f>'FY27'!X208</f>
        <v>0</v>
      </c>
      <c r="Y208" s="77">
        <f>'FY28'!X208</f>
        <v>0</v>
      </c>
      <c r="Z208" s="77">
        <f>'FY29'!X208</f>
        <v>0</v>
      </c>
      <c r="AA208" s="77">
        <f>'FY30'!X208</f>
        <v>0</v>
      </c>
      <c r="AB208" s="77">
        <f>'FY31'!X208</f>
        <v>0</v>
      </c>
      <c r="AC208" s="79"/>
      <c r="AD208" s="77">
        <f>'FY27'!AD208</f>
        <v>0</v>
      </c>
      <c r="AE208" s="77">
        <f>'FY28'!AD208</f>
        <v>0</v>
      </c>
      <c r="AF208" s="77">
        <f>'FY29'!AD208</f>
        <v>0</v>
      </c>
      <c r="AG208" s="77">
        <f>'FY30'!AD208</f>
        <v>0</v>
      </c>
      <c r="AH208" s="77">
        <f>'FY31'!AD208</f>
        <v>0</v>
      </c>
      <c r="AI208" s="79"/>
      <c r="AJ208" s="77">
        <f>'FY27'!AJ208</f>
        <v>0</v>
      </c>
      <c r="AK208" s="77">
        <f>'FY28'!AJ208</f>
        <v>0</v>
      </c>
      <c r="AL208" s="77">
        <f>'FY29'!AJ208</f>
        <v>0</v>
      </c>
      <c r="AM208" s="77">
        <f>'FY30'!AJ208</f>
        <v>0</v>
      </c>
      <c r="AN208" s="77">
        <f>'FY31'!AJ208</f>
        <v>0</v>
      </c>
      <c r="AP208" s="77">
        <f>'FY26'!AD208</f>
        <v>0</v>
      </c>
      <c r="AQ208" s="77">
        <f>'FY27'!AP208</f>
        <v>0</v>
      </c>
      <c r="AR208" s="77">
        <f>'FY28'!AP208</f>
        <v>0</v>
      </c>
      <c r="AS208" s="77">
        <f>'FY29'!AP208</f>
        <v>0</v>
      </c>
      <c r="AT208" s="77">
        <f>'FY30'!AP208</f>
        <v>0</v>
      </c>
      <c r="AU208" s="77">
        <f>'FY31'!AP208</f>
        <v>0</v>
      </c>
      <c r="AW208" s="77">
        <f>'FY26'!AJ208</f>
        <v>0</v>
      </c>
      <c r="AX208" s="77">
        <f>'FY27'!AV208</f>
        <v>0</v>
      </c>
      <c r="AY208" s="77">
        <f>'FY28'!AV208</f>
        <v>0</v>
      </c>
      <c r="AZ208" s="77">
        <f>'FY29'!AV208</f>
        <v>0</v>
      </c>
      <c r="BA208" s="77">
        <f>'FY30'!AV208</f>
        <v>0</v>
      </c>
      <c r="BB208" s="77">
        <f>'FY31'!AV208</f>
        <v>0</v>
      </c>
      <c r="BD208" s="166"/>
      <c r="BE208" s="166"/>
    </row>
    <row r="209" spans="1:57" ht="16.5" thickBot="1" x14ac:dyDescent="0.3">
      <c r="A209"/>
      <c r="B209" s="80">
        <f>'FY26'!F209</f>
        <v>12449784.608750001</v>
      </c>
      <c r="C209" s="80">
        <f>'FY27'!F209</f>
        <v>12586338.729262501</v>
      </c>
      <c r="D209" s="80">
        <f>'FY28'!F209</f>
        <v>12868493.530404625</v>
      </c>
      <c r="E209" s="80">
        <f>'FY29'!F209</f>
        <v>13170202.250127653</v>
      </c>
      <c r="F209" s="80">
        <f>'FY30'!F209</f>
        <v>13396719.283971742</v>
      </c>
      <c r="G209" s="80">
        <f>'FY31'!F209</f>
        <v>13631258.396384798</v>
      </c>
      <c r="I209" s="80">
        <f>'FY26'!L209</f>
        <v>12066734.99</v>
      </c>
      <c r="J209" s="80">
        <f>'FY27'!L209</f>
        <v>12206275.180750001</v>
      </c>
      <c r="K209" s="80">
        <f>'FY28'!L209</f>
        <v>12482518.132252501</v>
      </c>
      <c r="L209" s="80">
        <f>'FY29'!L209</f>
        <v>12777290.203068474</v>
      </c>
      <c r="M209" s="80">
        <f>'FY30'!L209</f>
        <v>12997898.577058336</v>
      </c>
      <c r="N209" s="80">
        <f>'FY31'!L209</f>
        <v>13251562.241370812</v>
      </c>
      <c r="P209" s="80">
        <f>'FY26'!R209</f>
        <v>26832988.414999999</v>
      </c>
      <c r="Q209" s="80">
        <f>'FY27'!R209</f>
        <v>26667704.982499998</v>
      </c>
      <c r="R209" s="80">
        <f>'FY28'!R209</f>
        <v>27485849.181985002</v>
      </c>
      <c r="S209" s="80">
        <f>'FY29'!R209</f>
        <v>28113056.558991652</v>
      </c>
      <c r="T209" s="80">
        <f>'FY30'!R209</f>
        <v>28826881.858100869</v>
      </c>
      <c r="U209" s="80">
        <f>'FY31'!R209</f>
        <v>29425803.905680224</v>
      </c>
      <c r="W209" s="80">
        <f>'FY26'!X209</f>
        <v>4632462.79</v>
      </c>
      <c r="X209" s="80">
        <f>'FY27'!X209</f>
        <v>4813210.9139999999</v>
      </c>
      <c r="Y209" s="80">
        <f>'FY28'!X209</f>
        <v>5042548.5530250007</v>
      </c>
      <c r="Z209" s="80">
        <f>'FY29'!X209</f>
        <v>5162678.6810306497</v>
      </c>
      <c r="AA209" s="80">
        <f>'FY30'!X209</f>
        <v>5397589.0009341668</v>
      </c>
      <c r="AB209" s="80">
        <f>'FY31'!X209</f>
        <v>5422061.4288717126</v>
      </c>
      <c r="AC209" s="199"/>
      <c r="AD209" s="80">
        <f>'FY27'!AD209</f>
        <v>4164627.0944999997</v>
      </c>
      <c r="AE209" s="80">
        <f>'FY28'!AD209</f>
        <v>5857772.6620399999</v>
      </c>
      <c r="AF209" s="80">
        <f>'FY29'!AD209</f>
        <v>8911884.0732383989</v>
      </c>
      <c r="AG209" s="80">
        <f>'FY30'!AD209</f>
        <v>11643691.946351442</v>
      </c>
      <c r="AH209" s="80">
        <f>'FY31'!AD209</f>
        <v>14069300.978913441</v>
      </c>
      <c r="AI209" s="199"/>
      <c r="AJ209" s="80">
        <f>'FY27'!AJ209</f>
        <v>0</v>
      </c>
      <c r="AK209" s="80">
        <f>'FY28'!AJ209</f>
        <v>7173871.2769999998</v>
      </c>
      <c r="AL209" s="80">
        <f>'FY29'!AJ209</f>
        <v>9275277.5684300009</v>
      </c>
      <c r="AM209" s="80">
        <f>'FY30'!AJ209</f>
        <v>10992265.489884399</v>
      </c>
      <c r="AN209" s="80">
        <f>'FY31'!AJ209</f>
        <v>10701321.791505283</v>
      </c>
      <c r="AP209" s="80">
        <f>'FY26'!AD209</f>
        <v>2691920.5625</v>
      </c>
      <c r="AQ209" s="80">
        <f>'FY27'!AP209</f>
        <v>3071962.2578125</v>
      </c>
      <c r="AR209" s="80">
        <f>'FY28'!AP209</f>
        <v>3093317.7039843751</v>
      </c>
      <c r="AS209" s="80">
        <f>'FY29'!AP209</f>
        <v>2926042.2706906563</v>
      </c>
      <c r="AT209" s="80">
        <f>'FY30'!AP209</f>
        <v>2944362.2185736923</v>
      </c>
      <c r="AU209" s="80">
        <f>'FY31'!AP209</f>
        <v>3030256.48084532</v>
      </c>
      <c r="AW209" s="80">
        <f>'FY26'!AJ209</f>
        <v>58673891.366250001</v>
      </c>
      <c r="AX209" s="80">
        <f>'FY27'!AV209</f>
        <v>63510119.158825003</v>
      </c>
      <c r="AY209" s="80">
        <f>'FY28'!AV209</f>
        <v>74004371.040691495</v>
      </c>
      <c r="AZ209" s="80">
        <f>'FY29'!AV209</f>
        <v>80336431.605577499</v>
      </c>
      <c r="BA209" s="80">
        <f>'FY30'!AV209</f>
        <v>86199408.374874651</v>
      </c>
      <c r="BB209" s="80">
        <f>'FY31'!AV209</f>
        <v>89531565.223571599</v>
      </c>
      <c r="BD209" s="166"/>
      <c r="BE209" s="166"/>
    </row>
    <row r="210" spans="1:57" ht="16.5" thickBot="1" x14ac:dyDescent="0.3">
      <c r="B210" s="77">
        <f>'FY26'!F210</f>
        <v>0</v>
      </c>
      <c r="C210" s="77">
        <f>'FY27'!F210</f>
        <v>0</v>
      </c>
      <c r="D210" s="77">
        <f>'FY28'!F210</f>
        <v>0</v>
      </c>
      <c r="E210" s="77">
        <f>'FY29'!F210</f>
        <v>0</v>
      </c>
      <c r="F210" s="77">
        <f>'FY30'!F210</f>
        <v>0</v>
      </c>
      <c r="G210" s="77">
        <f>'FY31'!F210</f>
        <v>0</v>
      </c>
      <c r="I210" s="77">
        <f>'FY26'!L210</f>
        <v>0</v>
      </c>
      <c r="J210" s="77">
        <f>'FY27'!L210</f>
        <v>0</v>
      </c>
      <c r="K210" s="77">
        <f>'FY28'!L210</f>
        <v>0</v>
      </c>
      <c r="L210" s="77">
        <f>'FY29'!L210</f>
        <v>0</v>
      </c>
      <c r="M210" s="77">
        <f>'FY30'!L210</f>
        <v>0</v>
      </c>
      <c r="N210" s="77">
        <f>'FY31'!L210</f>
        <v>0</v>
      </c>
      <c r="P210" s="77">
        <f>'FY26'!R210</f>
        <v>0</v>
      </c>
      <c r="Q210" s="77">
        <f>'FY27'!R210</f>
        <v>0</v>
      </c>
      <c r="R210" s="77">
        <f>'FY28'!R210</f>
        <v>0</v>
      </c>
      <c r="S210" s="77">
        <f>'FY29'!R210</f>
        <v>0</v>
      </c>
      <c r="T210" s="77">
        <f>'FY30'!R210</f>
        <v>0</v>
      </c>
      <c r="U210" s="77">
        <f>'FY31'!R210</f>
        <v>0</v>
      </c>
      <c r="W210" s="77">
        <f>'FY26'!X210</f>
        <v>0</v>
      </c>
      <c r="X210" s="77">
        <f>'FY27'!X210</f>
        <v>0</v>
      </c>
      <c r="Y210" s="77">
        <f>'FY28'!X210</f>
        <v>0</v>
      </c>
      <c r="Z210" s="77">
        <f>'FY29'!X210</f>
        <v>0</v>
      </c>
      <c r="AA210" s="77">
        <f>'FY30'!X210</f>
        <v>0</v>
      </c>
      <c r="AB210" s="77">
        <f>'FY31'!X210</f>
        <v>0</v>
      </c>
      <c r="AC210" s="79"/>
      <c r="AD210" s="77">
        <f>'FY27'!AD210</f>
        <v>0</v>
      </c>
      <c r="AE210" s="77">
        <f>'FY28'!AD210</f>
        <v>0</v>
      </c>
      <c r="AF210" s="77">
        <f>'FY29'!AD210</f>
        <v>0</v>
      </c>
      <c r="AG210" s="77">
        <f>'FY30'!AD210</f>
        <v>0</v>
      </c>
      <c r="AH210" s="77">
        <f>'FY31'!AD210</f>
        <v>0</v>
      </c>
      <c r="AI210" s="79"/>
      <c r="AJ210" s="77">
        <f>'FY27'!AJ210</f>
        <v>0</v>
      </c>
      <c r="AK210" s="77">
        <f>'FY28'!AJ210</f>
        <v>0</v>
      </c>
      <c r="AL210" s="77">
        <f>'FY29'!AJ210</f>
        <v>0</v>
      </c>
      <c r="AM210" s="77">
        <f>'FY30'!AJ210</f>
        <v>0</v>
      </c>
      <c r="AN210" s="77">
        <f>'FY31'!AJ210</f>
        <v>0</v>
      </c>
      <c r="AP210" s="77">
        <f>'FY26'!AD210</f>
        <v>0</v>
      </c>
      <c r="AQ210" s="77">
        <f>'FY27'!AP210</f>
        <v>0</v>
      </c>
      <c r="AR210" s="77">
        <f>'FY28'!AP210</f>
        <v>0</v>
      </c>
      <c r="AS210" s="77">
        <f>'FY29'!AP210</f>
        <v>0</v>
      </c>
      <c r="AT210" s="77">
        <f>'FY30'!AP210</f>
        <v>0</v>
      </c>
      <c r="AU210" s="77">
        <f>'FY31'!AP210</f>
        <v>0</v>
      </c>
      <c r="AW210" s="77">
        <f>'FY26'!AJ210</f>
        <v>0</v>
      </c>
      <c r="AX210" s="77">
        <f>'FY27'!AV210</f>
        <v>0</v>
      </c>
      <c r="AY210" s="77">
        <f>'FY28'!AV210</f>
        <v>0</v>
      </c>
      <c r="AZ210" s="77">
        <f>'FY29'!AV210</f>
        <v>0</v>
      </c>
      <c r="BA210" s="77">
        <f>'FY30'!AV210</f>
        <v>0</v>
      </c>
      <c r="BB210" s="77">
        <f>'FY31'!AV210</f>
        <v>0</v>
      </c>
      <c r="BD210" s="166"/>
      <c r="BE210" s="166"/>
    </row>
    <row r="211" spans="1:57" ht="16.5" thickBot="1" x14ac:dyDescent="0.3">
      <c r="A211" s="36"/>
      <c r="B211" s="81">
        <f>'FY26'!F211</f>
        <v>0</v>
      </c>
      <c r="C211" s="81">
        <f>'FY27'!F211</f>
        <v>0</v>
      </c>
      <c r="D211" s="81">
        <f>'FY28'!F211</f>
        <v>0</v>
      </c>
      <c r="E211" s="81">
        <f>'FY29'!F211</f>
        <v>0</v>
      </c>
      <c r="F211" s="81">
        <f>'FY30'!F211</f>
        <v>0</v>
      </c>
      <c r="G211" s="81">
        <f>'FY31'!F211</f>
        <v>0</v>
      </c>
      <c r="I211" s="81">
        <f>'FY26'!L211</f>
        <v>0</v>
      </c>
      <c r="J211" s="81">
        <f>'FY27'!L211</f>
        <v>0</v>
      </c>
      <c r="K211" s="81">
        <f>'FY28'!L211</f>
        <v>0</v>
      </c>
      <c r="L211" s="81">
        <f>'FY29'!L211</f>
        <v>0</v>
      </c>
      <c r="M211" s="81">
        <f>'FY30'!L211</f>
        <v>0</v>
      </c>
      <c r="N211" s="81">
        <f>'FY31'!L211</f>
        <v>0</v>
      </c>
      <c r="P211" s="81">
        <f>'FY26'!R211</f>
        <v>0</v>
      </c>
      <c r="Q211" s="81">
        <f>'FY27'!R211</f>
        <v>0</v>
      </c>
      <c r="R211" s="81">
        <f>'FY28'!R211</f>
        <v>0</v>
      </c>
      <c r="S211" s="81">
        <f>'FY29'!R211</f>
        <v>0</v>
      </c>
      <c r="T211" s="81">
        <f>'FY30'!R211</f>
        <v>0</v>
      </c>
      <c r="U211" s="81">
        <f>'FY31'!R211</f>
        <v>0</v>
      </c>
      <c r="W211" s="81">
        <f>'FY26'!X211</f>
        <v>0</v>
      </c>
      <c r="X211" s="81">
        <f>'FY27'!X211</f>
        <v>0</v>
      </c>
      <c r="Y211" s="81">
        <f>'FY28'!X211</f>
        <v>0</v>
      </c>
      <c r="Z211" s="81">
        <f>'FY29'!X211</f>
        <v>0</v>
      </c>
      <c r="AA211" s="81">
        <f>'FY30'!X211</f>
        <v>0</v>
      </c>
      <c r="AB211" s="81">
        <f>'FY31'!X211</f>
        <v>0</v>
      </c>
      <c r="AC211" s="194"/>
      <c r="AD211" s="81">
        <f>'FY27'!AD211</f>
        <v>0</v>
      </c>
      <c r="AE211" s="81">
        <f>'FY28'!AD211</f>
        <v>0</v>
      </c>
      <c r="AF211" s="81">
        <f>'FY29'!AD211</f>
        <v>0</v>
      </c>
      <c r="AG211" s="81">
        <f>'FY30'!AD211</f>
        <v>0</v>
      </c>
      <c r="AH211" s="81">
        <f>'FY31'!AD211</f>
        <v>0</v>
      </c>
      <c r="AI211" s="194"/>
      <c r="AJ211" s="81">
        <f>'FY27'!AJ211</f>
        <v>0</v>
      </c>
      <c r="AK211" s="81">
        <f>'FY28'!AJ211</f>
        <v>0</v>
      </c>
      <c r="AL211" s="81">
        <f>'FY29'!AJ211</f>
        <v>0</v>
      </c>
      <c r="AM211" s="81">
        <f>'FY30'!AJ211</f>
        <v>0</v>
      </c>
      <c r="AN211" s="81">
        <f>'FY31'!AJ211</f>
        <v>0</v>
      </c>
      <c r="AP211" s="81">
        <f>'FY26'!AD211</f>
        <v>0</v>
      </c>
      <c r="AQ211" s="81">
        <f>'FY27'!AP211</f>
        <v>0</v>
      </c>
      <c r="AR211" s="81">
        <f>'FY28'!AP211</f>
        <v>0</v>
      </c>
      <c r="AS211" s="81">
        <f>'FY29'!AP211</f>
        <v>0</v>
      </c>
      <c r="AT211" s="81">
        <f>'FY30'!AP211</f>
        <v>0</v>
      </c>
      <c r="AU211" s="81">
        <f>'FY31'!AP211</f>
        <v>0</v>
      </c>
      <c r="AW211" s="81">
        <f>'FY26'!AJ211</f>
        <v>0</v>
      </c>
      <c r="AX211" s="81">
        <f>'FY27'!AV211</f>
        <v>0</v>
      </c>
      <c r="AY211" s="81">
        <f>'FY28'!AV211</f>
        <v>0</v>
      </c>
      <c r="AZ211" s="81">
        <f>'FY29'!AV211</f>
        <v>0</v>
      </c>
      <c r="BA211" s="81">
        <f>'FY30'!AV211</f>
        <v>0</v>
      </c>
      <c r="BB211" s="81">
        <f>'FY31'!AV211</f>
        <v>0</v>
      </c>
      <c r="BD211" s="166"/>
      <c r="BE211" s="166"/>
    </row>
    <row r="212" spans="1:57" x14ac:dyDescent="0.25">
      <c r="A212" s="37" t="s">
        <v>153</v>
      </c>
      <c r="B212" s="82">
        <f>'FY26'!F212</f>
        <v>0</v>
      </c>
      <c r="C212" s="82">
        <f>'FY27'!F212</f>
        <v>0</v>
      </c>
      <c r="D212" s="82">
        <f>'FY28'!F212</f>
        <v>0</v>
      </c>
      <c r="E212" s="82">
        <f>'FY29'!F212</f>
        <v>0</v>
      </c>
      <c r="F212" s="82">
        <f>'FY30'!F212</f>
        <v>0</v>
      </c>
      <c r="G212" s="82">
        <f>'FY31'!F212</f>
        <v>0</v>
      </c>
      <c r="I212" s="82">
        <f>'FY26'!L212</f>
        <v>0</v>
      </c>
      <c r="J212" s="82">
        <f>'FY27'!L212</f>
        <v>0</v>
      </c>
      <c r="K212" s="82">
        <f>'FY28'!L212</f>
        <v>0</v>
      </c>
      <c r="L212" s="82">
        <f>'FY29'!L212</f>
        <v>0</v>
      </c>
      <c r="M212" s="82">
        <f>'FY30'!L212</f>
        <v>0</v>
      </c>
      <c r="N212" s="82">
        <f>'FY31'!L212</f>
        <v>0</v>
      </c>
      <c r="P212" s="82">
        <f>'FY26'!R212</f>
        <v>0</v>
      </c>
      <c r="Q212" s="82">
        <f>'FY27'!R212</f>
        <v>0</v>
      </c>
      <c r="R212" s="82">
        <f>'FY28'!R212</f>
        <v>0</v>
      </c>
      <c r="S212" s="82">
        <f>'FY29'!R212</f>
        <v>0</v>
      </c>
      <c r="T212" s="82">
        <f>'FY30'!R212</f>
        <v>0</v>
      </c>
      <c r="U212" s="82">
        <f>'FY31'!R212</f>
        <v>0</v>
      </c>
      <c r="W212" s="82">
        <f>'FY26'!X212</f>
        <v>167000</v>
      </c>
      <c r="X212" s="82">
        <f>'FY27'!X212</f>
        <v>0</v>
      </c>
      <c r="Y212" s="82">
        <f>'FY28'!X212</f>
        <v>0</v>
      </c>
      <c r="Z212" s="82">
        <f>'FY29'!X212</f>
        <v>0</v>
      </c>
      <c r="AA212" s="82">
        <f>'FY30'!X212</f>
        <v>0</v>
      </c>
      <c r="AB212" s="82">
        <f>'FY31'!X212</f>
        <v>0</v>
      </c>
      <c r="AC212" s="194"/>
      <c r="AD212" s="82">
        <f>'FY27'!AD212</f>
        <v>700000</v>
      </c>
      <c r="AE212" s="82">
        <f>'FY28'!AD212</f>
        <v>1300000</v>
      </c>
      <c r="AF212" s="82">
        <f>'FY29'!AD212</f>
        <v>2300000</v>
      </c>
      <c r="AG212" s="82">
        <f>'FY30'!AD212</f>
        <v>2700000</v>
      </c>
      <c r="AH212" s="82">
        <f>'FY31'!AD212</f>
        <v>3100000</v>
      </c>
      <c r="AI212" s="194"/>
      <c r="AJ212" s="82">
        <f>'FY27'!AJ212</f>
        <v>0</v>
      </c>
      <c r="AK212" s="82">
        <f>'FY28'!AJ212</f>
        <v>1650000</v>
      </c>
      <c r="AL212" s="82">
        <f>'FY29'!AJ212</f>
        <v>2323063</v>
      </c>
      <c r="AM212" s="82">
        <f>'FY30'!AJ212</f>
        <v>2554000</v>
      </c>
      <c r="AN212" s="82">
        <f>'FY31'!AJ212</f>
        <v>2700000</v>
      </c>
      <c r="AP212" s="82">
        <f>'FY26'!AD212</f>
        <v>0</v>
      </c>
      <c r="AQ212" s="82">
        <f>'FY27'!AP212</f>
        <v>0</v>
      </c>
      <c r="AR212" s="82">
        <f>'FY28'!AP212</f>
        <v>0</v>
      </c>
      <c r="AS212" s="82">
        <f>'FY29'!AP212</f>
        <v>0</v>
      </c>
      <c r="AT212" s="82">
        <f>'FY30'!AP212</f>
        <v>0</v>
      </c>
      <c r="AU212" s="82">
        <f>'FY31'!AP212</f>
        <v>0</v>
      </c>
      <c r="AW212" s="82">
        <f>'FY26'!AJ212</f>
        <v>167000</v>
      </c>
      <c r="AX212" s="82">
        <f>'FY27'!AV212</f>
        <v>700000</v>
      </c>
      <c r="AY212" s="82">
        <f>'FY28'!AV212</f>
        <v>2950000</v>
      </c>
      <c r="AZ212" s="82">
        <f>'FY29'!AV212</f>
        <v>4623063</v>
      </c>
      <c r="BA212" s="82">
        <f>'FY30'!AV212</f>
        <v>5254000</v>
      </c>
      <c r="BB212" s="82">
        <f>'FY31'!AV212</f>
        <v>5800000</v>
      </c>
      <c r="BD212" s="166"/>
      <c r="BE212" s="166"/>
    </row>
    <row r="213" spans="1:57" x14ac:dyDescent="0.25">
      <c r="A213" s="38" t="s">
        <v>154</v>
      </c>
      <c r="B213" s="82">
        <f>'FY26'!F213</f>
        <v>297500</v>
      </c>
      <c r="C213" s="82">
        <f>'FY27'!F213</f>
        <v>312500</v>
      </c>
      <c r="D213" s="82">
        <f>'FY28'!F213</f>
        <v>327500</v>
      </c>
      <c r="E213" s="82">
        <f>'FY29'!F213</f>
        <v>345000</v>
      </c>
      <c r="F213" s="82">
        <f>'FY30'!F213</f>
        <v>365000</v>
      </c>
      <c r="G213" s="82">
        <f>'FY31'!F213</f>
        <v>385000</v>
      </c>
      <c r="I213" s="82">
        <f>'FY26'!L213</f>
        <v>295000</v>
      </c>
      <c r="J213" s="82">
        <f>'FY27'!L213</f>
        <v>305000</v>
      </c>
      <c r="K213" s="82">
        <f>'FY28'!L213</f>
        <v>317500</v>
      </c>
      <c r="L213" s="82">
        <f>'FY29'!L213</f>
        <v>332500</v>
      </c>
      <c r="M213" s="82">
        <f>'FY30'!L213</f>
        <v>345000</v>
      </c>
      <c r="N213" s="82">
        <f>'FY31'!L213</f>
        <v>360000</v>
      </c>
      <c r="P213" s="82">
        <f>'FY26'!R213</f>
        <v>840000</v>
      </c>
      <c r="Q213" s="82">
        <f>'FY27'!R213</f>
        <v>887500</v>
      </c>
      <c r="R213" s="82">
        <f>'FY28'!R213</f>
        <v>932500</v>
      </c>
      <c r="S213" s="82">
        <f>'FY29'!R213</f>
        <v>980000</v>
      </c>
      <c r="T213" s="82">
        <f>'FY30'!R213</f>
        <v>1030000</v>
      </c>
      <c r="U213" s="82">
        <f>'FY31'!R213</f>
        <v>1082500</v>
      </c>
      <c r="W213" s="82">
        <f>'FY26'!X213</f>
        <v>0</v>
      </c>
      <c r="X213" s="82">
        <f>'FY27'!X213</f>
        <v>182500</v>
      </c>
      <c r="Y213" s="82">
        <f>'FY28'!X213</f>
        <v>160000</v>
      </c>
      <c r="Z213" s="82">
        <f>'FY29'!X213</f>
        <v>182500</v>
      </c>
      <c r="AA213" s="82">
        <f>'FY30'!X213</f>
        <v>207500</v>
      </c>
      <c r="AB213" s="82">
        <f>'FY31'!X213</f>
        <v>220000</v>
      </c>
      <c r="AC213" s="194"/>
      <c r="AD213" s="82">
        <f>'FY27'!AD213</f>
        <v>0</v>
      </c>
      <c r="AE213" s="82">
        <f>'FY28'!AD213</f>
        <v>0</v>
      </c>
      <c r="AF213" s="82">
        <f>'FY29'!AD213</f>
        <v>0</v>
      </c>
      <c r="AG213" s="82">
        <f>'FY30'!AD213</f>
        <v>0</v>
      </c>
      <c r="AH213" s="82">
        <f>'FY31'!AD213</f>
        <v>0</v>
      </c>
      <c r="AI213" s="194"/>
      <c r="AJ213" s="82">
        <f>'FY27'!AJ213</f>
        <v>0</v>
      </c>
      <c r="AK213" s="82">
        <f>'FY28'!AJ213</f>
        <v>0</v>
      </c>
      <c r="AL213" s="82">
        <f>'FY29'!AJ213</f>
        <v>0</v>
      </c>
      <c r="AM213" s="82">
        <f>'FY30'!AJ213</f>
        <v>0</v>
      </c>
      <c r="AN213" s="82">
        <f>'FY31'!AJ213</f>
        <v>0</v>
      </c>
      <c r="AP213" s="82">
        <f>'FY26'!AD213</f>
        <v>0</v>
      </c>
      <c r="AQ213" s="82">
        <f>'FY27'!AP213</f>
        <v>0</v>
      </c>
      <c r="AR213" s="82">
        <f>'FY28'!AP213</f>
        <v>0</v>
      </c>
      <c r="AS213" s="82">
        <f>'FY29'!AP213</f>
        <v>0</v>
      </c>
      <c r="AT213" s="82">
        <f>'FY30'!AP213</f>
        <v>0</v>
      </c>
      <c r="AU213" s="82">
        <f>'FY31'!AP213</f>
        <v>0</v>
      </c>
      <c r="AW213" s="82">
        <f>'FY26'!AJ213</f>
        <v>1432500</v>
      </c>
      <c r="AX213" s="82">
        <f>'FY27'!AV213</f>
        <v>1687500</v>
      </c>
      <c r="AY213" s="82">
        <f>'FY28'!AV213</f>
        <v>1737500</v>
      </c>
      <c r="AZ213" s="82">
        <f>'FY29'!AV213</f>
        <v>1840000</v>
      </c>
      <c r="BA213" s="82">
        <f>'FY30'!AV213</f>
        <v>1947500</v>
      </c>
      <c r="BB213" s="82">
        <f>'FY31'!AV213</f>
        <v>2047500</v>
      </c>
      <c r="BC213" s="166">
        <f>BB213-BA213</f>
        <v>100000</v>
      </c>
      <c r="BD213" s="166"/>
      <c r="BE213" s="166"/>
    </row>
    <row r="214" spans="1:57" x14ac:dyDescent="0.25">
      <c r="A214" s="38" t="s">
        <v>155</v>
      </c>
      <c r="B214" s="82">
        <f>'FY26'!F214</f>
        <v>719013</v>
      </c>
      <c r="C214" s="82">
        <f>'FY27'!F214</f>
        <v>704882</v>
      </c>
      <c r="D214" s="82">
        <f>'FY28'!F214</f>
        <v>690038</v>
      </c>
      <c r="E214" s="82">
        <f>'FY29'!F214</f>
        <v>674482</v>
      </c>
      <c r="F214" s="82">
        <f>'FY30'!F214</f>
        <v>657207</v>
      </c>
      <c r="G214" s="82">
        <f>'FY31'!F214</f>
        <v>638044</v>
      </c>
      <c r="I214" s="82">
        <f>'FY26'!L214</f>
        <v>689800</v>
      </c>
      <c r="J214" s="82">
        <f>'FY27'!L214</f>
        <v>678000</v>
      </c>
      <c r="K214" s="82">
        <f>'FY28'!L214</f>
        <v>665800</v>
      </c>
      <c r="L214" s="82">
        <f>'FY29'!L214</f>
        <v>653100</v>
      </c>
      <c r="M214" s="82">
        <f>'FY30'!L214</f>
        <v>639800</v>
      </c>
      <c r="N214" s="82">
        <f>'FY31'!L214</f>
        <v>626000</v>
      </c>
      <c r="P214" s="82">
        <f>'FY26'!R214</f>
        <v>2775100</v>
      </c>
      <c r="Q214" s="82">
        <f>'FY27'!R214</f>
        <v>2729875</v>
      </c>
      <c r="R214" s="82">
        <f>'FY28'!R214</f>
        <v>2685500</v>
      </c>
      <c r="S214" s="82">
        <f>'FY29'!R214</f>
        <v>2638875</v>
      </c>
      <c r="T214" s="82">
        <f>'FY30'!R214</f>
        <v>2589875</v>
      </c>
      <c r="U214" s="82">
        <f>'FY31'!R214</f>
        <v>2538375</v>
      </c>
      <c r="W214" s="82">
        <f>'FY26'!X214</f>
        <v>885665</v>
      </c>
      <c r="X214" s="82">
        <f>'FY27'!X214</f>
        <v>1068915</v>
      </c>
      <c r="Y214" s="82">
        <f>'FY28'!X214</f>
        <v>1097438</v>
      </c>
      <c r="Z214" s="82">
        <f>'FY29'!X214</f>
        <v>1085438</v>
      </c>
      <c r="AA214" s="82">
        <f>'FY30'!X214</f>
        <v>1073313</v>
      </c>
      <c r="AB214" s="82">
        <f>'FY31'!X214</f>
        <v>1062000</v>
      </c>
      <c r="AC214" s="194"/>
      <c r="AD214" s="82">
        <f>'FY27'!AD214</f>
        <v>0</v>
      </c>
      <c r="AE214" s="82">
        <f>'FY28'!AD214</f>
        <v>0</v>
      </c>
      <c r="AF214" s="82">
        <f>'FY29'!AD214</f>
        <v>0</v>
      </c>
      <c r="AG214" s="82">
        <f>'FY30'!AD214</f>
        <v>0</v>
      </c>
      <c r="AH214" s="82">
        <f>'FY31'!AD214</f>
        <v>0</v>
      </c>
      <c r="AI214" s="194"/>
      <c r="AJ214" s="82">
        <f>'FY27'!AJ214</f>
        <v>0</v>
      </c>
      <c r="AK214" s="82">
        <f>'FY28'!AJ214</f>
        <v>0</v>
      </c>
      <c r="AL214" s="82">
        <f>'FY29'!AJ214</f>
        <v>0</v>
      </c>
      <c r="AM214" s="82">
        <f>'FY30'!AJ214</f>
        <v>0</v>
      </c>
      <c r="AN214" s="82">
        <f>'FY31'!AJ214</f>
        <v>0</v>
      </c>
      <c r="AP214" s="82">
        <f>'FY26'!AD214</f>
        <v>0</v>
      </c>
      <c r="AQ214" s="82">
        <f>'FY27'!AP214</f>
        <v>0</v>
      </c>
      <c r="AR214" s="82">
        <f>'FY28'!AP214</f>
        <v>0</v>
      </c>
      <c r="AS214" s="82">
        <f>'FY29'!AP214</f>
        <v>0</v>
      </c>
      <c r="AT214" s="82">
        <f>'FY30'!AP214</f>
        <v>0</v>
      </c>
      <c r="AU214" s="82">
        <f>'FY31'!AP214</f>
        <v>0</v>
      </c>
      <c r="AW214" s="82">
        <f>'FY26'!AJ214</f>
        <v>5069578</v>
      </c>
      <c r="AX214" s="82">
        <f>'FY27'!AV214</f>
        <v>5181672</v>
      </c>
      <c r="AY214" s="82">
        <f>'FY28'!AV214</f>
        <v>5138776</v>
      </c>
      <c r="AZ214" s="82">
        <f>'FY29'!AV214</f>
        <v>5051895</v>
      </c>
      <c r="BA214" s="82">
        <f>'FY30'!AV214</f>
        <v>4960195</v>
      </c>
      <c r="BB214" s="82">
        <f>'FY31'!AV214</f>
        <v>4864419</v>
      </c>
      <c r="BC214" s="166">
        <f>BB214-BA214</f>
        <v>-95776</v>
      </c>
      <c r="BD214" s="166"/>
      <c r="BE214" s="166"/>
    </row>
    <row r="215" spans="1:57" x14ac:dyDescent="0.25">
      <c r="A215" s="39" t="s">
        <v>156</v>
      </c>
      <c r="B215" s="82">
        <f>'FY26'!F215</f>
        <v>0</v>
      </c>
      <c r="C215" s="82">
        <f>'FY27'!F215</f>
        <v>0</v>
      </c>
      <c r="D215" s="82">
        <f>'FY28'!F215</f>
        <v>0</v>
      </c>
      <c r="E215" s="82">
        <f>'FY29'!F215</f>
        <v>0</v>
      </c>
      <c r="F215" s="82">
        <f>'FY30'!F215</f>
        <v>0</v>
      </c>
      <c r="G215" s="82">
        <f>'FY31'!F215</f>
        <v>0</v>
      </c>
      <c r="I215" s="82">
        <f>'FY26'!L215</f>
        <v>0</v>
      </c>
      <c r="J215" s="82">
        <f>'FY27'!L215</f>
        <v>0</v>
      </c>
      <c r="K215" s="82">
        <f>'FY28'!L215</f>
        <v>0</v>
      </c>
      <c r="L215" s="82">
        <f>'FY29'!L215</f>
        <v>0</v>
      </c>
      <c r="M215" s="82">
        <f>'FY30'!L215</f>
        <v>0</v>
      </c>
      <c r="N215" s="82">
        <f>'FY31'!L215</f>
        <v>0</v>
      </c>
      <c r="P215" s="82">
        <f>'FY26'!R215</f>
        <v>0</v>
      </c>
      <c r="Q215" s="82">
        <f>'FY27'!R215</f>
        <v>0</v>
      </c>
      <c r="R215" s="82">
        <f>'FY28'!R215</f>
        <v>0</v>
      </c>
      <c r="S215" s="82">
        <f>'FY29'!R215</f>
        <v>0</v>
      </c>
      <c r="T215" s="82">
        <f>'FY30'!R215</f>
        <v>0</v>
      </c>
      <c r="U215" s="82">
        <f>'FY31'!R215</f>
        <v>0</v>
      </c>
      <c r="W215" s="82">
        <f>'FY26'!X215</f>
        <v>0</v>
      </c>
      <c r="X215" s="82">
        <f>'FY27'!X215</f>
        <v>0</v>
      </c>
      <c r="Y215" s="82">
        <f>'FY28'!X215</f>
        <v>0</v>
      </c>
      <c r="Z215" s="82">
        <f>'FY29'!X215</f>
        <v>0</v>
      </c>
      <c r="AA215" s="82">
        <f>'FY30'!X215</f>
        <v>0</v>
      </c>
      <c r="AB215" s="82">
        <f>'FY31'!X215</f>
        <v>0</v>
      </c>
      <c r="AC215" s="194"/>
      <c r="AD215" s="82">
        <f>'FY27'!AD215</f>
        <v>0</v>
      </c>
      <c r="AE215" s="82">
        <f>'FY28'!AD215</f>
        <v>0</v>
      </c>
      <c r="AF215" s="82">
        <f>'FY29'!AD215</f>
        <v>0</v>
      </c>
      <c r="AG215" s="82">
        <f>'FY30'!AD215</f>
        <v>0</v>
      </c>
      <c r="AH215" s="82">
        <f>'FY31'!AD215</f>
        <v>0</v>
      </c>
      <c r="AI215" s="194"/>
      <c r="AJ215" s="82">
        <f>'FY27'!AJ215</f>
        <v>0</v>
      </c>
      <c r="AK215" s="82">
        <f>'FY28'!AJ215</f>
        <v>0</v>
      </c>
      <c r="AL215" s="82">
        <f>'FY29'!AJ215</f>
        <v>0</v>
      </c>
      <c r="AM215" s="82">
        <f>'FY30'!AJ215</f>
        <v>0</v>
      </c>
      <c r="AN215" s="82">
        <f>'FY31'!AJ215</f>
        <v>0</v>
      </c>
      <c r="AP215" s="82">
        <f>'FY26'!AD215</f>
        <v>0</v>
      </c>
      <c r="AQ215" s="82">
        <f>'FY27'!AP215</f>
        <v>0</v>
      </c>
      <c r="AR215" s="82">
        <f>'FY28'!AP215</f>
        <v>0</v>
      </c>
      <c r="AS215" s="82">
        <f>'FY29'!AP215</f>
        <v>0</v>
      </c>
      <c r="AT215" s="82">
        <f>'FY30'!AP215</f>
        <v>0</v>
      </c>
      <c r="AU215" s="82">
        <f>'FY31'!AP215</f>
        <v>0</v>
      </c>
      <c r="AW215" s="82">
        <f>'FY26'!AJ215</f>
        <v>0</v>
      </c>
      <c r="AX215" s="82">
        <f>'FY27'!AV215</f>
        <v>0</v>
      </c>
      <c r="AY215" s="82">
        <f>'FY28'!AV215</f>
        <v>0</v>
      </c>
      <c r="AZ215" s="82">
        <f>'FY29'!AV215</f>
        <v>0</v>
      </c>
      <c r="BA215" s="82">
        <f>'FY30'!AV215</f>
        <v>0</v>
      </c>
      <c r="BB215" s="82">
        <f>'FY31'!AV215</f>
        <v>0</v>
      </c>
      <c r="BD215" s="166"/>
      <c r="BE215" s="166"/>
    </row>
    <row r="216" spans="1:57" x14ac:dyDescent="0.25">
      <c r="A216" s="27"/>
      <c r="B216" s="76">
        <f>'FY26'!F216</f>
        <v>1016513</v>
      </c>
      <c r="C216" s="76">
        <f>'FY27'!F216</f>
        <v>1017382</v>
      </c>
      <c r="D216" s="76">
        <f>'FY28'!F216</f>
        <v>1017538</v>
      </c>
      <c r="E216" s="76">
        <f>'FY29'!F216</f>
        <v>1019482</v>
      </c>
      <c r="F216" s="76">
        <f>'FY30'!F216</f>
        <v>1022207</v>
      </c>
      <c r="G216" s="76">
        <f>'FY31'!F216</f>
        <v>1023044</v>
      </c>
      <c r="I216" s="76">
        <f>'FY26'!L216</f>
        <v>984800</v>
      </c>
      <c r="J216" s="76">
        <f>'FY27'!L216</f>
        <v>983000</v>
      </c>
      <c r="K216" s="76">
        <f>'FY28'!L216</f>
        <v>983300</v>
      </c>
      <c r="L216" s="76">
        <f>'FY29'!L216</f>
        <v>985600</v>
      </c>
      <c r="M216" s="76">
        <f>'FY30'!L216</f>
        <v>984800</v>
      </c>
      <c r="N216" s="76">
        <f>'FY31'!L216</f>
        <v>986000</v>
      </c>
      <c r="P216" s="76">
        <f>'FY26'!R216</f>
        <v>3615100</v>
      </c>
      <c r="Q216" s="76">
        <f>'FY27'!R216</f>
        <v>3617375</v>
      </c>
      <c r="R216" s="76">
        <f>'FY28'!R216</f>
        <v>3618000</v>
      </c>
      <c r="S216" s="76">
        <f>'FY29'!R216</f>
        <v>3618875</v>
      </c>
      <c r="T216" s="76">
        <f>'FY30'!R216</f>
        <v>3619875</v>
      </c>
      <c r="U216" s="76">
        <f>'FY31'!R216</f>
        <v>3620875</v>
      </c>
      <c r="W216" s="76">
        <f>'FY26'!X216</f>
        <v>1052665</v>
      </c>
      <c r="X216" s="76">
        <f>'FY27'!X216</f>
        <v>1251415</v>
      </c>
      <c r="Y216" s="76">
        <f>'FY28'!X216</f>
        <v>1257438</v>
      </c>
      <c r="Z216" s="76">
        <f>'FY29'!X216</f>
        <v>1267938</v>
      </c>
      <c r="AA216" s="76">
        <f>'FY30'!X216</f>
        <v>1280813</v>
      </c>
      <c r="AB216" s="76">
        <f>'FY31'!X216</f>
        <v>1282000</v>
      </c>
      <c r="AC216" s="199"/>
      <c r="AD216" s="76">
        <f>'FY27'!AD216</f>
        <v>700000</v>
      </c>
      <c r="AE216" s="76">
        <f>'FY28'!AD216</f>
        <v>1300000</v>
      </c>
      <c r="AF216" s="76">
        <f>'FY29'!AD216</f>
        <v>2300000</v>
      </c>
      <c r="AG216" s="76">
        <f>'FY30'!AD216</f>
        <v>2700000</v>
      </c>
      <c r="AH216" s="76">
        <f>'FY31'!AD216</f>
        <v>3100000</v>
      </c>
      <c r="AI216" s="199"/>
      <c r="AJ216" s="76">
        <f>'FY27'!AJ216</f>
        <v>0</v>
      </c>
      <c r="AK216" s="76">
        <f>'FY28'!AJ216</f>
        <v>1650000</v>
      </c>
      <c r="AL216" s="76">
        <f>'FY29'!AJ216</f>
        <v>2323063</v>
      </c>
      <c r="AM216" s="76">
        <f>'FY30'!AJ216</f>
        <v>2554000</v>
      </c>
      <c r="AN216" s="76">
        <f>'FY31'!AJ216</f>
        <v>2700000</v>
      </c>
      <c r="AP216" s="76">
        <f>'FY26'!AD216</f>
        <v>0</v>
      </c>
      <c r="AQ216" s="76">
        <f>'FY27'!AP216</f>
        <v>0</v>
      </c>
      <c r="AR216" s="76">
        <f>'FY28'!AP216</f>
        <v>0</v>
      </c>
      <c r="AS216" s="76">
        <f>'FY29'!AP216</f>
        <v>0</v>
      </c>
      <c r="AT216" s="76">
        <f>'FY30'!AP216</f>
        <v>0</v>
      </c>
      <c r="AU216" s="76">
        <f>'FY31'!AP216</f>
        <v>0</v>
      </c>
      <c r="AW216" s="76">
        <f>'FY26'!AJ216</f>
        <v>6669078</v>
      </c>
      <c r="AX216" s="76">
        <f>'FY27'!AV216</f>
        <v>7569172</v>
      </c>
      <c r="AY216" s="76">
        <f>'FY28'!AV216</f>
        <v>9826276</v>
      </c>
      <c r="AZ216" s="76">
        <f>'FY29'!AV216</f>
        <v>11514958</v>
      </c>
      <c r="BA216" s="76">
        <f>'FY30'!AV216</f>
        <v>12161695</v>
      </c>
      <c r="BB216" s="76">
        <f>'FY31'!AV216</f>
        <v>12711919</v>
      </c>
      <c r="BD216" s="166"/>
      <c r="BE216" s="166"/>
    </row>
    <row r="217" spans="1:57" ht="16.5" thickBot="1" x14ac:dyDescent="0.3">
      <c r="B217" s="77">
        <f>'FY26'!F217</f>
        <v>0</v>
      </c>
      <c r="C217" s="77">
        <f>'FY27'!F217</f>
        <v>0</v>
      </c>
      <c r="D217" s="77">
        <f>'FY28'!F217</f>
        <v>0</v>
      </c>
      <c r="E217" s="77">
        <f>'FY29'!F217</f>
        <v>0</v>
      </c>
      <c r="F217" s="77">
        <f>'FY30'!F217</f>
        <v>0</v>
      </c>
      <c r="G217" s="77">
        <f>'FY31'!F217</f>
        <v>0</v>
      </c>
      <c r="I217" s="77">
        <f>'FY26'!L217</f>
        <v>0</v>
      </c>
      <c r="J217" s="77">
        <f>'FY27'!L217</f>
        <v>0</v>
      </c>
      <c r="K217" s="77">
        <f>'FY28'!L217</f>
        <v>0</v>
      </c>
      <c r="L217" s="77">
        <f>'FY29'!L217</f>
        <v>0</v>
      </c>
      <c r="M217" s="77">
        <f>'FY30'!L217</f>
        <v>0</v>
      </c>
      <c r="N217" s="77">
        <f>'FY31'!L217</f>
        <v>0</v>
      </c>
      <c r="P217" s="77">
        <f>'FY26'!R217</f>
        <v>0</v>
      </c>
      <c r="Q217" s="77">
        <f>'FY27'!R217</f>
        <v>0</v>
      </c>
      <c r="R217" s="77">
        <f>'FY28'!R217</f>
        <v>0</v>
      </c>
      <c r="S217" s="77">
        <f>'FY29'!R217</f>
        <v>0</v>
      </c>
      <c r="T217" s="77">
        <f>'FY30'!R217</f>
        <v>0</v>
      </c>
      <c r="U217" s="77">
        <f>'FY31'!R217</f>
        <v>0</v>
      </c>
      <c r="W217" s="77">
        <f>'FY26'!X217</f>
        <v>0</v>
      </c>
      <c r="X217" s="77">
        <f>'FY27'!X217</f>
        <v>0</v>
      </c>
      <c r="Y217" s="77">
        <f>'FY28'!X217</f>
        <v>0</v>
      </c>
      <c r="Z217" s="77">
        <f>'FY29'!X217</f>
        <v>0</v>
      </c>
      <c r="AA217" s="77">
        <f>'FY30'!X217</f>
        <v>0</v>
      </c>
      <c r="AB217" s="77">
        <f>'FY31'!X217</f>
        <v>0</v>
      </c>
      <c r="AC217" s="79"/>
      <c r="AD217" s="77">
        <f>'FY27'!AD217</f>
        <v>0</v>
      </c>
      <c r="AE217" s="77">
        <f>'FY28'!AD217</f>
        <v>0</v>
      </c>
      <c r="AF217" s="77">
        <f>'FY29'!AD217</f>
        <v>0</v>
      </c>
      <c r="AG217" s="77">
        <f>'FY30'!AD217</f>
        <v>0</v>
      </c>
      <c r="AH217" s="77">
        <f>'FY31'!AD217</f>
        <v>0</v>
      </c>
      <c r="AI217" s="79"/>
      <c r="AJ217" s="77">
        <f>'FY27'!AJ217</f>
        <v>0</v>
      </c>
      <c r="AK217" s="77">
        <f>'FY28'!AJ217</f>
        <v>0</v>
      </c>
      <c r="AL217" s="77">
        <f>'FY29'!AJ217</f>
        <v>0</v>
      </c>
      <c r="AM217" s="77">
        <f>'FY30'!AJ217</f>
        <v>0</v>
      </c>
      <c r="AN217" s="77">
        <f>'FY31'!AJ217</f>
        <v>0</v>
      </c>
      <c r="AP217" s="77">
        <f>'FY26'!AD217</f>
        <v>0</v>
      </c>
      <c r="AQ217" s="77">
        <f>'FY27'!AP217</f>
        <v>0</v>
      </c>
      <c r="AR217" s="77">
        <f>'FY28'!AP217</f>
        <v>0</v>
      </c>
      <c r="AS217" s="77">
        <f>'FY29'!AP217</f>
        <v>0</v>
      </c>
      <c r="AT217" s="77">
        <f>'FY30'!AP217</f>
        <v>0</v>
      </c>
      <c r="AU217" s="77">
        <f>'FY31'!AP217</f>
        <v>0</v>
      </c>
      <c r="AW217" s="77">
        <f>'FY26'!AJ217</f>
        <v>0</v>
      </c>
      <c r="AX217" s="77">
        <f>'FY27'!AV217</f>
        <v>0</v>
      </c>
      <c r="AY217" s="77">
        <f>'FY28'!AV217</f>
        <v>0</v>
      </c>
      <c r="AZ217" s="77">
        <f>'FY29'!AV217</f>
        <v>0</v>
      </c>
      <c r="BA217" s="77">
        <f>'FY30'!AV217</f>
        <v>0</v>
      </c>
      <c r="BB217" s="77">
        <f>'FY31'!AV217</f>
        <v>0</v>
      </c>
    </row>
    <row r="218" spans="1:57" ht="16.5" thickBot="1" x14ac:dyDescent="0.3">
      <c r="A218" s="40"/>
      <c r="B218" s="85">
        <f>'FY26'!F218</f>
        <v>189133.39294999838</v>
      </c>
      <c r="C218" s="85">
        <f>'FY27'!F218</f>
        <v>179965.27243749797</v>
      </c>
      <c r="D218" s="85">
        <f>'FY28'!F218</f>
        <v>165199.071295375</v>
      </c>
      <c r="E218" s="85">
        <f>'FY29'!F218</f>
        <v>60365.251572346315</v>
      </c>
      <c r="F218" s="85">
        <f>'FY30'!F218</f>
        <v>35891.217728257179</v>
      </c>
      <c r="G218" s="85">
        <f>'FY31'!F218</f>
        <v>5283.1053152009845</v>
      </c>
      <c r="I218" s="85">
        <f>'FY26'!L218</f>
        <v>391768.76149999909</v>
      </c>
      <c r="J218" s="85">
        <f>'FY27'!L218</f>
        <v>379763.57074999809</v>
      </c>
      <c r="K218" s="85">
        <f>'FY28'!L218</f>
        <v>368245.21924749762</v>
      </c>
      <c r="L218" s="85">
        <f>'FY29'!L218</f>
        <v>267472.04843152501</v>
      </c>
      <c r="M218" s="85">
        <f>'FY30'!L218</f>
        <v>249911.67444166355</v>
      </c>
      <c r="N218" s="85">
        <f>'FY31'!L218</f>
        <v>197296.01012918726</v>
      </c>
      <c r="P218" s="85">
        <f>'FY26'!R218</f>
        <v>111597.24100000039</v>
      </c>
      <c r="Q218" s="85">
        <f>'FY27'!R218</f>
        <v>735155.91950000077</v>
      </c>
      <c r="R218" s="85">
        <f>'FY28'!R218</f>
        <v>698349.52001499757</v>
      </c>
      <c r="S218" s="85">
        <f>'FY29'!R218</f>
        <v>915961.09300834686</v>
      </c>
      <c r="T218" s="85">
        <f>'FY30'!R218</f>
        <v>764255.29389913008</v>
      </c>
      <c r="U218" s="85">
        <f>'FY31'!R218</f>
        <v>547902.74631977826</v>
      </c>
      <c r="W218" s="85">
        <f>'FY26'!X218</f>
        <v>9261.2099999999627</v>
      </c>
      <c r="X218" s="85">
        <f>'FY27'!X218</f>
        <v>119903.8610000005</v>
      </c>
      <c r="Y218" s="85">
        <f>'FY28'!X218</f>
        <v>79484.646974999458</v>
      </c>
      <c r="Z218" s="85">
        <f>'FY29'!X218</f>
        <v>97745.318969350308</v>
      </c>
      <c r="AA218" s="85">
        <f>'FY30'!X218</f>
        <v>151107.12406583317</v>
      </c>
      <c r="AB218" s="85">
        <f>'FY31'!X218</f>
        <v>53503.571128287353</v>
      </c>
      <c r="AC218" s="199"/>
      <c r="AD218" s="85">
        <f>'FY27'!AD218</f>
        <v>-220353.09449999966</v>
      </c>
      <c r="AE218" s="85">
        <f>'FY28'!AD218</f>
        <v>225671.33796000015</v>
      </c>
      <c r="AF218" s="85">
        <f>'FY29'!AD218</f>
        <v>-457606.19823839888</v>
      </c>
      <c r="AG218" s="85">
        <f>'FY30'!AD218</f>
        <v>15278.616148557514</v>
      </c>
      <c r="AH218" s="85">
        <f>'FY31'!AD218</f>
        <v>129857.1460865587</v>
      </c>
      <c r="AI218" s="199"/>
      <c r="AJ218" s="85">
        <f>'FY27'!AJ218</f>
        <v>0</v>
      </c>
      <c r="AK218" s="85">
        <f>'FY28'!AJ218</f>
        <v>-381676.27699999884</v>
      </c>
      <c r="AL218" s="85">
        <f>'FY29'!AJ218</f>
        <v>59127.181569999084</v>
      </c>
      <c r="AM218" s="85">
        <f>'FY30'!AJ218</f>
        <v>45377.510115601122</v>
      </c>
      <c r="AN218" s="85">
        <f>'FY31'!AJ218</f>
        <v>131770.08349471726</v>
      </c>
      <c r="AP218" s="85">
        <f>'FY26'!AD218</f>
        <v>-608598.5625</v>
      </c>
      <c r="AQ218" s="85">
        <f>'FY27'!AP218</f>
        <v>-1078640.2578125</v>
      </c>
      <c r="AR218" s="85">
        <f>'FY28'!AP218</f>
        <v>-1099995.7039843751</v>
      </c>
      <c r="AS218" s="85">
        <f>'FY29'!AP218</f>
        <v>-932720.27069065627</v>
      </c>
      <c r="AT218" s="85">
        <f>'FY30'!AP218</f>
        <v>-951040.21857369225</v>
      </c>
      <c r="AU218" s="85">
        <f>'FY31'!AP218</f>
        <v>-1036934.48084532</v>
      </c>
      <c r="AW218" s="85">
        <f>'FY26'!AJ218</f>
        <v>93162.042949996889</v>
      </c>
      <c r="AX218" s="85">
        <f>'FY27'!AV218</f>
        <v>115795.27137498558</v>
      </c>
      <c r="AY218" s="85">
        <f>'FY28'!AV218</f>
        <v>55277.814508512616</v>
      </c>
      <c r="AZ218" s="85">
        <f>'FY29'!AV218</f>
        <v>10344.424622505903</v>
      </c>
      <c r="BA218" s="85">
        <f>'FY30'!AV218</f>
        <v>310781.21782535315</v>
      </c>
      <c r="BB218" s="85">
        <f>'FY31'!AV218</f>
        <v>28678.181628406048</v>
      </c>
    </row>
    <row r="219" spans="1:57" x14ac:dyDescent="0.25">
      <c r="B219" s="77">
        <f>'FY26'!F219</f>
        <v>0</v>
      </c>
      <c r="C219" s="77">
        <f>'FY27'!F219</f>
        <v>0</v>
      </c>
      <c r="D219" s="77">
        <f>'FY28'!F219</f>
        <v>0</v>
      </c>
      <c r="E219" s="77">
        <f>'FY29'!F219</f>
        <v>0</v>
      </c>
      <c r="F219" s="77">
        <f>'FY30'!F219</f>
        <v>0</v>
      </c>
      <c r="G219" s="77">
        <f>'FY31'!F219</f>
        <v>0</v>
      </c>
      <c r="I219" s="77">
        <f>'FY26'!L219</f>
        <v>0</v>
      </c>
      <c r="J219" s="77">
        <f>'FY27'!L219</f>
        <v>0</v>
      </c>
      <c r="K219" s="77">
        <f>'FY28'!L219</f>
        <v>0</v>
      </c>
      <c r="L219" s="77">
        <f>'FY29'!L219</f>
        <v>0</v>
      </c>
      <c r="M219" s="77">
        <f>'FY30'!L219</f>
        <v>0</v>
      </c>
      <c r="N219" s="77">
        <f>'FY31'!L219</f>
        <v>0</v>
      </c>
      <c r="P219" s="77">
        <f>'FY26'!R219</f>
        <v>0</v>
      </c>
      <c r="Q219" s="77">
        <f>'FY27'!R219</f>
        <v>0</v>
      </c>
      <c r="R219" s="77">
        <f>'FY28'!R219</f>
        <v>0</v>
      </c>
      <c r="S219" s="77">
        <f>'FY29'!R219</f>
        <v>0</v>
      </c>
      <c r="T219" s="77">
        <f>'FY30'!R219</f>
        <v>0</v>
      </c>
      <c r="U219" s="77">
        <f>'FY31'!R219</f>
        <v>0</v>
      </c>
      <c r="W219" s="77">
        <f>'FY26'!X219</f>
        <v>0</v>
      </c>
      <c r="X219" s="77">
        <f>'FY27'!X219</f>
        <v>0</v>
      </c>
      <c r="Y219" s="77">
        <f>'FY28'!X219</f>
        <v>0</v>
      </c>
      <c r="Z219" s="77">
        <f>'FY29'!X219</f>
        <v>0</v>
      </c>
      <c r="AA219" s="77">
        <f>'FY30'!X219</f>
        <v>0</v>
      </c>
      <c r="AB219" s="77">
        <f>'FY31'!X219</f>
        <v>0</v>
      </c>
      <c r="AC219" s="79"/>
      <c r="AD219" s="77">
        <f>'FY27'!AD219</f>
        <v>0</v>
      </c>
      <c r="AE219" s="77">
        <f>'FY28'!AD219</f>
        <v>0</v>
      </c>
      <c r="AF219" s="77">
        <f>'FY29'!AD219</f>
        <v>0</v>
      </c>
      <c r="AG219" s="77">
        <f>'FY30'!AD219</f>
        <v>0</v>
      </c>
      <c r="AH219" s="77">
        <f>'FY31'!AD219</f>
        <v>0</v>
      </c>
      <c r="AI219" s="79"/>
      <c r="AJ219" s="77">
        <f>'FY27'!AJ219</f>
        <v>0</v>
      </c>
      <c r="AK219" s="77">
        <f>'FY28'!AJ219</f>
        <v>0</v>
      </c>
      <c r="AL219" s="77">
        <f>'FY29'!AJ219</f>
        <v>0</v>
      </c>
      <c r="AM219" s="77">
        <f>'FY30'!AJ219</f>
        <v>0</v>
      </c>
      <c r="AN219" s="77">
        <f>'FY31'!AJ219</f>
        <v>0</v>
      </c>
      <c r="AP219" s="77">
        <f>'FY26'!AD219</f>
        <v>0</v>
      </c>
      <c r="AQ219" s="77">
        <f>'FY27'!AP219</f>
        <v>0</v>
      </c>
      <c r="AR219" s="77"/>
      <c r="AS219" s="77">
        <f>'FY29'!AP219</f>
        <v>0</v>
      </c>
      <c r="AT219" s="77"/>
      <c r="AU219" s="77">
        <f>'FY31'!AP219</f>
        <v>0</v>
      </c>
      <c r="AW219" s="77">
        <f>'FY26'!AJ219</f>
        <v>0</v>
      </c>
      <c r="AX219" s="77">
        <f>'FY27'!AV219</f>
        <v>0</v>
      </c>
      <c r="AY219" s="77">
        <f>'FY28'!AV219</f>
        <v>0</v>
      </c>
      <c r="AZ219" s="77">
        <f>'FY29'!AV219</f>
        <v>0</v>
      </c>
      <c r="BA219" s="77">
        <f>'FY30'!AV219</f>
        <v>0</v>
      </c>
      <c r="BB219" s="77">
        <f>'FY31'!AV219</f>
        <v>0</v>
      </c>
    </row>
    <row r="220" spans="1:57" x14ac:dyDescent="0.25">
      <c r="A220" s="41" t="str">
        <f>A1</f>
        <v>Mater Academy - System</v>
      </c>
      <c r="B220" s="86" t="str">
        <f>'FY26'!F220</f>
        <v>FY26- Mtn</v>
      </c>
      <c r="C220" s="86" t="str">
        <f>'FY27'!F220</f>
        <v>FY27- Mtn</v>
      </c>
      <c r="D220" s="86" t="str">
        <f>'FY28'!F220</f>
        <v>FY28- Mtn</v>
      </c>
      <c r="E220" s="86" t="str">
        <f>'FY29'!F220</f>
        <v>FY29- Mtn</v>
      </c>
      <c r="F220" s="86" t="str">
        <f>'FY30'!F220</f>
        <v>FY30- Mtn</v>
      </c>
      <c r="G220" s="86" t="str">
        <f>'FY31'!F220</f>
        <v>FY31- Mtn</v>
      </c>
      <c r="I220" s="86" t="str">
        <f>'FY26'!L220</f>
        <v>FY26- Bon</v>
      </c>
      <c r="J220" s="86" t="str">
        <f>'FY27'!L220</f>
        <v>FY27- Bon</v>
      </c>
      <c r="K220" s="86" t="str">
        <f>'FY28'!L220</f>
        <v>FY28- Bon</v>
      </c>
      <c r="L220" s="86" t="str">
        <f>'FY29'!L220</f>
        <v>FY29- Bon</v>
      </c>
      <c r="M220" s="86" t="str">
        <f>'FY30'!L220</f>
        <v>FY30- Bon</v>
      </c>
      <c r="N220" s="86" t="str">
        <f>'FY31'!L220</f>
        <v>FY31- Bon</v>
      </c>
      <c r="P220" s="86" t="str">
        <f>'FY26'!R220</f>
        <v>FY26- East</v>
      </c>
      <c r="Q220" s="86" t="str">
        <f>'FY27'!R220</f>
        <v>FY27- East</v>
      </c>
      <c r="R220" s="86" t="str">
        <f>'FY28'!R220</f>
        <v>FY28- East</v>
      </c>
      <c r="S220" s="86" t="str">
        <f>'FY29'!R220</f>
        <v>FY29- East</v>
      </c>
      <c r="T220" s="86" t="str">
        <f>'FY30'!R220</f>
        <v>FY30- East</v>
      </c>
      <c r="U220" s="86" t="str">
        <f>'FY31'!R220</f>
        <v>FY31- East</v>
      </c>
      <c r="W220" s="86" t="str">
        <f>'FY26'!X220</f>
        <v>FY26- Cactus</v>
      </c>
      <c r="X220" s="86" t="str">
        <f>'FY27'!X220</f>
        <v>FY27- Cactus</v>
      </c>
      <c r="Y220" s="86" t="str">
        <f>'FY28'!X220</f>
        <v>FY28- Cactus</v>
      </c>
      <c r="Z220" s="86" t="str">
        <f>'FY29'!X220</f>
        <v>FY29- Cactus</v>
      </c>
      <c r="AA220" s="86" t="str">
        <f>'FY30'!X220</f>
        <v>FY30- Cactus</v>
      </c>
      <c r="AB220" s="86" t="str">
        <f>'FY31'!X220</f>
        <v>FY31- Cactus</v>
      </c>
      <c r="AC220" s="202"/>
      <c r="AD220" s="86" t="str">
        <f>'FY27'!AD220</f>
        <v>FY27- Sahara</v>
      </c>
      <c r="AE220" s="86" t="str">
        <f>'FY28'!AD220</f>
        <v>FY28- Sahara</v>
      </c>
      <c r="AF220" s="86" t="str">
        <f>'FY29'!AD220</f>
        <v>FY29- Sahara</v>
      </c>
      <c r="AG220" s="86" t="str">
        <f>'FY30'!AD220</f>
        <v>FY30- Sahara</v>
      </c>
      <c r="AH220" s="86" t="str">
        <f>'FY31'!AD220</f>
        <v>FY31- Sahara</v>
      </c>
      <c r="AI220" s="202"/>
      <c r="AJ220" s="86" t="str">
        <f>'FY27'!AJ220</f>
        <v>FY27- VV</v>
      </c>
      <c r="AK220" s="86" t="str">
        <f>'FY28'!AJ220</f>
        <v>FY27- VV</v>
      </c>
      <c r="AL220" s="86" t="str">
        <f>'FY29'!AJ220</f>
        <v>FY29- VV</v>
      </c>
      <c r="AM220" s="86" t="str">
        <f>'FY30'!AJ220</f>
        <v>FY30- VV</v>
      </c>
      <c r="AN220" s="86" t="str">
        <f>'FY31'!AJ220</f>
        <v>FY31- VV</v>
      </c>
      <c r="AP220" s="86" t="str">
        <f>'FY26'!AD220</f>
        <v>FY26 - Central</v>
      </c>
      <c r="AQ220" s="86" t="str">
        <f>'FY27'!AP220</f>
        <v>FY27 - Central</v>
      </c>
      <c r="AR220" s="86" t="str">
        <f>'FY28'!AP220</f>
        <v>FY28 - Central</v>
      </c>
      <c r="AS220" s="86" t="str">
        <f>'FY29'!AP220</f>
        <v>FY29 - Central</v>
      </c>
      <c r="AT220" s="86" t="str">
        <f>'FY30'!AP220</f>
        <v>FY30 - Central</v>
      </c>
      <c r="AU220" s="86" t="str">
        <f>'FY31'!AP220</f>
        <v>FY31 - Central</v>
      </c>
      <c r="AW220" s="86" t="str">
        <f>'FY26'!AJ220</f>
        <v>FY26- Sys</v>
      </c>
      <c r="AX220" s="86" t="str">
        <f>'FY27'!AV220</f>
        <v>FY27- Sys</v>
      </c>
      <c r="AY220" s="86" t="str">
        <f>'FY28'!AV220</f>
        <v>FY28- Sys</v>
      </c>
      <c r="AZ220" s="86" t="str">
        <f>'FY29'!AV220</f>
        <v>FY29- Sys</v>
      </c>
      <c r="BA220" s="86" t="str">
        <f>'FY30'!AV220</f>
        <v>FY29- Sys</v>
      </c>
      <c r="BB220" s="86" t="str">
        <f>'FY31'!AV220</f>
        <v>FY31- Sys</v>
      </c>
    </row>
  </sheetData>
  <printOptions horizontalCentered="1"/>
  <pageMargins left="0.7" right="0.7" top="0.75" bottom="0.75" header="0.3" footer="0.3"/>
  <pageSetup scale="60" orientation="portrait" horizontalDpi="1200" verticalDpi="1200" r:id="rId1"/>
  <rowBreaks count="3" manualBreakCount="3">
    <brk id="66" max="16383" man="1"/>
    <brk id="117" max="16383" man="1"/>
    <brk id="172" max="16383" man="1"/>
  </rowBreaks>
  <colBreaks count="8" manualBreakCount="8">
    <brk id="7" max="1048575" man="1"/>
    <brk id="14" max="219" man="1"/>
    <brk id="21" max="219" man="1"/>
    <brk id="29" max="1048575" man="1"/>
    <brk id="35" max="1048575" man="1"/>
    <brk id="41" max="1048575" man="1"/>
    <brk id="47" max="219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Forecast</vt:lpstr>
      <vt:lpstr>FY26</vt:lpstr>
      <vt:lpstr>FY27</vt:lpstr>
      <vt:lpstr>FY28</vt:lpstr>
      <vt:lpstr>FY29</vt:lpstr>
      <vt:lpstr>FY30</vt:lpstr>
      <vt:lpstr>FY31</vt:lpstr>
      <vt:lpstr>Sheet3</vt:lpstr>
      <vt:lpstr>Compare</vt:lpstr>
      <vt:lpstr>Sheet8</vt:lpstr>
      <vt:lpstr>Sheet1</vt:lpstr>
      <vt:lpstr>Sheet4</vt:lpstr>
      <vt:lpstr>East Rent</vt:lpstr>
      <vt:lpstr>East FFE</vt:lpstr>
      <vt:lpstr>Cactus FFE</vt:lpstr>
      <vt:lpstr>Sheet2</vt:lpstr>
      <vt:lpstr>FFE VV</vt:lpstr>
      <vt:lpstr>Sheet5</vt:lpstr>
      <vt:lpstr>Compare!Print_Titles</vt:lpstr>
      <vt:lpstr>'FY26'!Print_Titles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Goodsell</dc:creator>
  <cp:lastModifiedBy>Paul Ballou</cp:lastModifiedBy>
  <cp:lastPrinted>2026-01-09T18:58:09Z</cp:lastPrinted>
  <dcterms:created xsi:type="dcterms:W3CDTF">2025-06-05T17:13:59Z</dcterms:created>
  <dcterms:modified xsi:type="dcterms:W3CDTF">2026-01-09T18:58:27Z</dcterms:modified>
</cp:coreProperties>
</file>